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 SMC files\Bio4250 - Evolutionary Genetics\"/>
    </mc:Choice>
  </mc:AlternateContent>
  <xr:revisionPtr revIDLastSave="0" documentId="13_ncr:1_{BD97EC76-0CEC-4C5A-A98D-264C694660A9}" xr6:coauthVersionLast="45" xr6:coauthVersionMax="45" xr10:uidLastSave="{00000000-0000-0000-0000-000000000000}"/>
  <bookViews>
    <workbookView xWindow="-98" yWindow="-98" windowWidth="20715" windowHeight="13276" tabRatio="856" firstSheet="2" activeTab="10" xr2:uid="{B9C8EC2E-F016-44A4-B7D2-7DB0F73D0BFC}"/>
  </bookViews>
  <sheets>
    <sheet name="X^2 instructions" sheetId="17" r:id="rId1"/>
    <sheet name="Chi-Square" sheetId="2" r:id="rId2"/>
    <sheet name="Chi-Sq MN" sheetId="14" r:id="rId3"/>
    <sheet name="Chi-Square ABO" sheetId="12" r:id="rId4"/>
    <sheet name="RxC G-test" sheetId="8" r:id="rId5"/>
    <sheet name="G-test A B AB O " sheetId="18" r:id="rId6"/>
    <sheet name="ABO ethnic data" sheetId="13" r:id="rId7"/>
    <sheet name="t-test" sheetId="4" r:id="rId8"/>
    <sheet name="Critical Values of t" sheetId="16" r:id="rId9"/>
    <sheet name="F-test" sheetId="1" r:id="rId10"/>
    <sheet name="Bayes calculation" sheetId="22" r:id="rId11"/>
  </sheets>
  <externalReferences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H13" i="22" l="1"/>
  <c r="G13" i="22"/>
  <c r="F13" i="22"/>
  <c r="E13" i="22"/>
  <c r="H12" i="22"/>
  <c r="G12" i="22"/>
  <c r="F12" i="22"/>
  <c r="E12" i="22"/>
  <c r="H11" i="22"/>
  <c r="G11" i="22"/>
  <c r="F11" i="22"/>
  <c r="E11" i="22"/>
  <c r="H10" i="22"/>
  <c r="G10" i="22"/>
  <c r="F10" i="22"/>
  <c r="E10" i="22"/>
  <c r="H9" i="22"/>
  <c r="G9" i="22"/>
  <c r="F9" i="22"/>
  <c r="E9" i="22"/>
  <c r="H8" i="22"/>
  <c r="G8" i="22"/>
  <c r="F8" i="22"/>
  <c r="E8" i="22"/>
  <c r="H7" i="22"/>
  <c r="G7" i="22"/>
  <c r="F7" i="22"/>
  <c r="E7" i="22"/>
  <c r="H6" i="22"/>
  <c r="G6" i="22"/>
  <c r="F6" i="22"/>
  <c r="E6" i="22"/>
  <c r="H5" i="22"/>
  <c r="G5" i="22"/>
  <c r="F5" i="22"/>
  <c r="E5" i="22"/>
  <c r="I28" i="18"/>
  <c r="M28" i="18" s="1"/>
  <c r="I27" i="18"/>
  <c r="G27" i="18" s="1"/>
  <c r="H27" i="18"/>
  <c r="K27" i="18" s="1"/>
  <c r="C13" i="18"/>
  <c r="B17" i="18" s="1"/>
  <c r="B13" i="18"/>
  <c r="G12" i="18"/>
  <c r="F12" i="18"/>
  <c r="E12" i="18"/>
  <c r="D12" i="18"/>
  <c r="H12" i="18" s="1"/>
  <c r="G11" i="18"/>
  <c r="F11" i="18"/>
  <c r="E11" i="18"/>
  <c r="D11" i="18"/>
  <c r="H11" i="18" s="1"/>
  <c r="F10" i="18"/>
  <c r="E10" i="18"/>
  <c r="D10" i="18"/>
  <c r="G10" i="18" s="1"/>
  <c r="F9" i="18"/>
  <c r="F13" i="18" s="1"/>
  <c r="E9" i="18"/>
  <c r="B15" i="18" s="1"/>
  <c r="D9" i="18"/>
  <c r="H9" i="18" s="1"/>
  <c r="L27" i="18" l="1"/>
  <c r="J27" i="18"/>
  <c r="H13" i="18"/>
  <c r="D13" i="18"/>
  <c r="B18" i="18" s="1"/>
  <c r="M27" i="18"/>
  <c r="G9" i="18"/>
  <c r="E13" i="18"/>
  <c r="G28" i="18"/>
  <c r="H10" i="18"/>
  <c r="H28" i="18"/>
  <c r="K28" i="18" s="1"/>
  <c r="G13" i="18" l="1"/>
  <c r="B16" i="18"/>
  <c r="B19" i="18" s="1"/>
  <c r="L28" i="18"/>
  <c r="J28" i="18"/>
  <c r="D24" i="12" l="1"/>
  <c r="E24" i="12"/>
  <c r="F24" i="12"/>
  <c r="G24" i="12"/>
  <c r="E5" i="12"/>
  <c r="F5" i="12" s="1"/>
  <c r="E6" i="12"/>
  <c r="F6" i="12" s="1"/>
  <c r="E7" i="12"/>
  <c r="F7" i="12" s="1"/>
  <c r="E8" i="12"/>
  <c r="F8" i="12" s="1"/>
  <c r="F57" i="2"/>
  <c r="G57" i="2" s="1"/>
  <c r="F56" i="2"/>
  <c r="G56" i="2" s="1"/>
  <c r="F55" i="2"/>
  <c r="G55" i="2" s="1"/>
  <c r="F54" i="2"/>
  <c r="G54" i="2" s="1"/>
  <c r="H55" i="2" s="1"/>
  <c r="G53" i="2"/>
  <c r="F53" i="2"/>
  <c r="F52" i="2"/>
  <c r="G52" i="2" s="1"/>
  <c r="F51" i="2"/>
  <c r="G51" i="2" s="1"/>
  <c r="F50" i="2"/>
  <c r="G50" i="2" s="1"/>
  <c r="H51" i="2" l="1"/>
  <c r="H53" i="2"/>
  <c r="H57" i="2"/>
  <c r="I8" i="13"/>
  <c r="G8" i="13" s="1"/>
  <c r="I9" i="13"/>
  <c r="G9" i="13" s="1"/>
  <c r="I10" i="13"/>
  <c r="G10" i="13" s="1"/>
  <c r="I11" i="13"/>
  <c r="G11" i="13" s="1"/>
  <c r="I12" i="13"/>
  <c r="G12" i="13" s="1"/>
  <c r="I13" i="13"/>
  <c r="G13" i="13" s="1"/>
  <c r="I14" i="13"/>
  <c r="G14" i="13" s="1"/>
  <c r="I15" i="13"/>
  <c r="G15" i="13" s="1"/>
  <c r="I16" i="13"/>
  <c r="G16" i="13" s="1"/>
  <c r="I17" i="13"/>
  <c r="G17" i="13" s="1"/>
  <c r="I18" i="13"/>
  <c r="G18" i="13" s="1"/>
  <c r="I19" i="13"/>
  <c r="G19" i="13" s="1"/>
  <c r="I20" i="13"/>
  <c r="G20" i="13" s="1"/>
  <c r="I21" i="13"/>
  <c r="G21" i="13" s="1"/>
  <c r="I22" i="13"/>
  <c r="G22" i="13" s="1"/>
  <c r="I23" i="13"/>
  <c r="G23" i="13" s="1"/>
  <c r="I24" i="13"/>
  <c r="G24" i="13" s="1"/>
  <c r="I25" i="13"/>
  <c r="G25" i="13" s="1"/>
  <c r="I26" i="13"/>
  <c r="G26" i="13" s="1"/>
  <c r="I27" i="13"/>
  <c r="G27" i="13" s="1"/>
  <c r="I28" i="13"/>
  <c r="G28" i="13" s="1"/>
  <c r="I29" i="13"/>
  <c r="G29" i="13" s="1"/>
  <c r="I30" i="13"/>
  <c r="G30" i="13" s="1"/>
  <c r="I31" i="13"/>
  <c r="G31" i="13" s="1"/>
  <c r="I32" i="13"/>
  <c r="G32" i="13" s="1"/>
  <c r="I33" i="13"/>
  <c r="I34" i="13"/>
  <c r="I35" i="13"/>
  <c r="G36" i="13"/>
  <c r="I36" i="13"/>
  <c r="H36" i="13" s="1"/>
  <c r="G37" i="13"/>
  <c r="H37" i="13"/>
  <c r="I37" i="13"/>
  <c r="G38" i="13"/>
  <c r="J38" i="13" s="1"/>
  <c r="M38" i="13" s="1"/>
  <c r="Q38" i="13" s="1"/>
  <c r="H38" i="13"/>
  <c r="I38" i="13"/>
  <c r="K38" i="13"/>
  <c r="L38" i="13"/>
  <c r="O38" i="13" s="1"/>
  <c r="G39" i="13"/>
  <c r="H39" i="13"/>
  <c r="I39" i="13"/>
  <c r="G40" i="13"/>
  <c r="H40" i="13"/>
  <c r="I40" i="13"/>
  <c r="G41" i="13"/>
  <c r="H41" i="13"/>
  <c r="I41" i="13"/>
  <c r="G42" i="13"/>
  <c r="J42" i="13" s="1"/>
  <c r="M42" i="13" s="1"/>
  <c r="Q42" i="13" s="1"/>
  <c r="H42" i="13"/>
  <c r="I42" i="13"/>
  <c r="K42" i="13"/>
  <c r="L42" i="13"/>
  <c r="O42" i="13" s="1"/>
  <c r="G43" i="13"/>
  <c r="H43" i="13"/>
  <c r="I43" i="13"/>
  <c r="G44" i="13"/>
  <c r="H44" i="13"/>
  <c r="I44" i="13"/>
  <c r="G45" i="13"/>
  <c r="H45" i="13"/>
  <c r="I45" i="13"/>
  <c r="G46" i="13"/>
  <c r="J46" i="13" s="1"/>
  <c r="M46" i="13" s="1"/>
  <c r="Q46" i="13" s="1"/>
  <c r="H46" i="13"/>
  <c r="I46" i="13"/>
  <c r="K46" i="13"/>
  <c r="L46" i="13"/>
  <c r="O46" i="13" s="1"/>
  <c r="G47" i="13"/>
  <c r="H47" i="13"/>
  <c r="I47" i="13"/>
  <c r="G48" i="13"/>
  <c r="H48" i="13"/>
  <c r="I48" i="13"/>
  <c r="G49" i="13"/>
  <c r="H49" i="13"/>
  <c r="I49" i="13"/>
  <c r="G50" i="13"/>
  <c r="J50" i="13" s="1"/>
  <c r="M50" i="13" s="1"/>
  <c r="Q50" i="13" s="1"/>
  <c r="H50" i="13"/>
  <c r="I50" i="13"/>
  <c r="K50" i="13"/>
  <c r="L50" i="13"/>
  <c r="O50" i="13" s="1"/>
  <c r="G51" i="13"/>
  <c r="H51" i="13"/>
  <c r="I51" i="13"/>
  <c r="G52" i="13"/>
  <c r="H52" i="13"/>
  <c r="I52" i="13"/>
  <c r="G53" i="13"/>
  <c r="H53" i="13"/>
  <c r="I53" i="13"/>
  <c r="G54" i="13"/>
  <c r="J54" i="13" s="1"/>
  <c r="M54" i="13" s="1"/>
  <c r="Q54" i="13" s="1"/>
  <c r="H54" i="13"/>
  <c r="I54" i="13"/>
  <c r="K54" i="13"/>
  <c r="L54" i="13"/>
  <c r="O54" i="13" s="1"/>
  <c r="G55" i="13"/>
  <c r="H55" i="13"/>
  <c r="I55" i="13"/>
  <c r="G56" i="13"/>
  <c r="H56" i="13"/>
  <c r="I56" i="13"/>
  <c r="G57" i="13"/>
  <c r="H57" i="13"/>
  <c r="I57" i="13"/>
  <c r="G58" i="13"/>
  <c r="J58" i="13" s="1"/>
  <c r="M58" i="13" s="1"/>
  <c r="Q58" i="13" s="1"/>
  <c r="H58" i="13"/>
  <c r="I58" i="13"/>
  <c r="K58" i="13"/>
  <c r="L58" i="13"/>
  <c r="O58" i="13" s="1"/>
  <c r="G59" i="13"/>
  <c r="H59" i="13"/>
  <c r="I59" i="13"/>
  <c r="G60" i="13"/>
  <c r="H60" i="13"/>
  <c r="I60" i="13"/>
  <c r="G61" i="13"/>
  <c r="H61" i="13"/>
  <c r="I61" i="13"/>
  <c r="G62" i="13"/>
  <c r="J62" i="13" s="1"/>
  <c r="M62" i="13" s="1"/>
  <c r="Q62" i="13" s="1"/>
  <c r="H62" i="13"/>
  <c r="I62" i="13"/>
  <c r="K62" i="13"/>
  <c r="L62" i="13"/>
  <c r="O62" i="13" s="1"/>
  <c r="G63" i="13"/>
  <c r="H63" i="13"/>
  <c r="I63" i="13"/>
  <c r="G64" i="13"/>
  <c r="H64" i="13"/>
  <c r="I64" i="13"/>
  <c r="G65" i="13"/>
  <c r="I65" i="13"/>
  <c r="H65" i="13" s="1"/>
  <c r="I66" i="13"/>
  <c r="G67" i="13"/>
  <c r="I67" i="13"/>
  <c r="H67" i="13" s="1"/>
  <c r="G68" i="13"/>
  <c r="I68" i="13"/>
  <c r="H68" i="13" s="1"/>
  <c r="G69" i="13"/>
  <c r="I69" i="13"/>
  <c r="H69" i="13" s="1"/>
  <c r="J69" i="13"/>
  <c r="G70" i="13"/>
  <c r="I70" i="13"/>
  <c r="H70" i="13" s="1"/>
  <c r="J70" i="13" s="1"/>
  <c r="K70" i="13"/>
  <c r="G71" i="13"/>
  <c r="I71" i="13"/>
  <c r="H71" i="13" s="1"/>
  <c r="G72" i="13"/>
  <c r="J72" i="13" s="1"/>
  <c r="K72" i="13" s="1"/>
  <c r="I72" i="13"/>
  <c r="H72" i="13" s="1"/>
  <c r="G73" i="13"/>
  <c r="K73" i="13" s="1"/>
  <c r="I73" i="13"/>
  <c r="H73" i="13" s="1"/>
  <c r="J73" i="13"/>
  <c r="G74" i="13"/>
  <c r="I74" i="13"/>
  <c r="H74" i="13" s="1"/>
  <c r="J74" i="13" s="1"/>
  <c r="K74" i="13" s="1"/>
  <c r="G75" i="13"/>
  <c r="I75" i="13"/>
  <c r="H75" i="13" s="1"/>
  <c r="G76" i="13"/>
  <c r="I76" i="13"/>
  <c r="H76" i="13" s="1"/>
  <c r="G77" i="13"/>
  <c r="K77" i="13" s="1"/>
  <c r="I77" i="13"/>
  <c r="H77" i="13" s="1"/>
  <c r="J77" i="13"/>
  <c r="G78" i="13"/>
  <c r="I78" i="13"/>
  <c r="H78" i="13" s="1"/>
  <c r="J78" i="13" s="1"/>
  <c r="M78" i="13" s="1"/>
  <c r="Q78" i="13" s="1"/>
  <c r="K78" i="13"/>
  <c r="G79" i="13"/>
  <c r="I79" i="13"/>
  <c r="H79" i="13" s="1"/>
  <c r="I80" i="13"/>
  <c r="H80" i="13" s="1"/>
  <c r="G81" i="13"/>
  <c r="I81" i="13"/>
  <c r="H81" i="13" s="1"/>
  <c r="J81" i="13"/>
  <c r="M81" i="13" s="1"/>
  <c r="Q81" i="13" s="1"/>
  <c r="I82" i="13"/>
  <c r="G83" i="13"/>
  <c r="I83" i="13"/>
  <c r="H83" i="13" s="1"/>
  <c r="I84" i="13"/>
  <c r="H84" i="13" s="1"/>
  <c r="G85" i="13"/>
  <c r="K85" i="13" s="1"/>
  <c r="I85" i="13"/>
  <c r="H85" i="13" s="1"/>
  <c r="J85" i="13"/>
  <c r="M85" i="13" s="1"/>
  <c r="Q85" i="13" s="1"/>
  <c r="I86" i="13"/>
  <c r="G87" i="13"/>
  <c r="I87" i="13"/>
  <c r="H87" i="13" s="1"/>
  <c r="I88" i="13"/>
  <c r="H88" i="13" s="1"/>
  <c r="G89" i="13"/>
  <c r="K89" i="13" s="1"/>
  <c r="I89" i="13"/>
  <c r="H89" i="13" s="1"/>
  <c r="J89" i="13"/>
  <c r="M89" i="13" s="1"/>
  <c r="Q89" i="13" s="1"/>
  <c r="I90" i="13"/>
  <c r="G91" i="13"/>
  <c r="I91" i="13"/>
  <c r="H91" i="13" s="1"/>
  <c r="I92" i="13"/>
  <c r="H92" i="13" s="1"/>
  <c r="G93" i="13"/>
  <c r="I93" i="13"/>
  <c r="H93" i="13" s="1"/>
  <c r="J93" i="13"/>
  <c r="M93" i="13" s="1"/>
  <c r="Q93" i="13" s="1"/>
  <c r="I94" i="13"/>
  <c r="G95" i="13"/>
  <c r="I95" i="13"/>
  <c r="H95" i="13" s="1"/>
  <c r="I96" i="13"/>
  <c r="H96" i="13" s="1"/>
  <c r="G97" i="13"/>
  <c r="I97" i="13"/>
  <c r="H97" i="13" s="1"/>
  <c r="J97" i="13"/>
  <c r="M97" i="13" s="1"/>
  <c r="Q97" i="13" s="1"/>
  <c r="G7" i="13"/>
  <c r="I7" i="13"/>
  <c r="H7" i="13" s="1"/>
  <c r="I6" i="13"/>
  <c r="G6" i="13" s="1"/>
  <c r="H90" i="13" l="1"/>
  <c r="G90" i="13"/>
  <c r="L68" i="13"/>
  <c r="O68" i="13" s="1"/>
  <c r="J95" i="13"/>
  <c r="M95" i="13" s="1"/>
  <c r="Q95" i="13" s="1"/>
  <c r="H86" i="13"/>
  <c r="G86" i="13"/>
  <c r="J79" i="13"/>
  <c r="M79" i="13" s="1"/>
  <c r="Q79" i="13" s="1"/>
  <c r="K79" i="13"/>
  <c r="P73" i="13"/>
  <c r="J68" i="13"/>
  <c r="K68" i="13" s="1"/>
  <c r="K97" i="13"/>
  <c r="J91" i="13"/>
  <c r="M91" i="13" s="1"/>
  <c r="Q91" i="13" s="1"/>
  <c r="H82" i="13"/>
  <c r="G82" i="13"/>
  <c r="K81" i="13"/>
  <c r="N78" i="13"/>
  <c r="L76" i="13"/>
  <c r="J75" i="13"/>
  <c r="K75" i="13"/>
  <c r="K69" i="13"/>
  <c r="H94" i="13"/>
  <c r="G94" i="13"/>
  <c r="K93" i="13"/>
  <c r="J87" i="13"/>
  <c r="M87" i="13" s="1"/>
  <c r="Q87" i="13" s="1"/>
  <c r="J76" i="13"/>
  <c r="K76" i="13" s="1"/>
  <c r="L72" i="13"/>
  <c r="J71" i="13"/>
  <c r="K71" i="13" s="1"/>
  <c r="N42" i="13"/>
  <c r="P42" i="13"/>
  <c r="J67" i="13"/>
  <c r="K67" i="13"/>
  <c r="N58" i="13"/>
  <c r="P58" i="13"/>
  <c r="P89" i="13"/>
  <c r="N89" i="13"/>
  <c r="J83" i="13"/>
  <c r="M83" i="13" s="1"/>
  <c r="Q83" i="13" s="1"/>
  <c r="K83" i="13"/>
  <c r="N85" i="13"/>
  <c r="J51" i="13"/>
  <c r="H35" i="13"/>
  <c r="G35" i="13"/>
  <c r="L97" i="13"/>
  <c r="O97" i="13" s="1"/>
  <c r="L93" i="13"/>
  <c r="O93" i="13" s="1"/>
  <c r="L89" i="13"/>
  <c r="O89" i="13" s="1"/>
  <c r="L85" i="13"/>
  <c r="O85" i="13" s="1"/>
  <c r="L81" i="13"/>
  <c r="O81" i="13" s="1"/>
  <c r="L77" i="13"/>
  <c r="O77" i="13" s="1"/>
  <c r="L73" i="13"/>
  <c r="L69" i="13"/>
  <c r="G66" i="13"/>
  <c r="H66" i="13"/>
  <c r="J64" i="13"/>
  <c r="K64" i="13"/>
  <c r="J63" i="13"/>
  <c r="L60" i="13"/>
  <c r="O60" i="13" s="1"/>
  <c r="N54" i="13"/>
  <c r="R54" i="13" s="1"/>
  <c r="P54" i="13"/>
  <c r="J47" i="13"/>
  <c r="K47" i="13"/>
  <c r="L45" i="13"/>
  <c r="N38" i="13"/>
  <c r="P38" i="13"/>
  <c r="L78" i="13"/>
  <c r="O78" i="13" s="1"/>
  <c r="L74" i="13"/>
  <c r="L70" i="13"/>
  <c r="J59" i="13"/>
  <c r="K59" i="13"/>
  <c r="N50" i="13"/>
  <c r="P50" i="13"/>
  <c r="J43" i="13"/>
  <c r="K43" i="13"/>
  <c r="L40" i="13"/>
  <c r="O40" i="13" s="1"/>
  <c r="G33" i="13"/>
  <c r="H33" i="13"/>
  <c r="G96" i="13"/>
  <c r="L95" i="13"/>
  <c r="O95" i="13" s="1"/>
  <c r="G92" i="13"/>
  <c r="L91" i="13"/>
  <c r="O91" i="13" s="1"/>
  <c r="G88" i="13"/>
  <c r="G84" i="13"/>
  <c r="L83" i="13"/>
  <c r="O83" i="13" s="1"/>
  <c r="G80" i="13"/>
  <c r="L79" i="13"/>
  <c r="O79" i="13" s="1"/>
  <c r="L75" i="13"/>
  <c r="L67" i="13"/>
  <c r="O67" i="13" s="1"/>
  <c r="J65" i="13"/>
  <c r="N62" i="13"/>
  <c r="P62" i="13"/>
  <c r="J55" i="13"/>
  <c r="N46" i="13"/>
  <c r="R46" i="13" s="1"/>
  <c r="P46" i="13"/>
  <c r="J39" i="13"/>
  <c r="K39" i="13"/>
  <c r="L37" i="13"/>
  <c r="J36" i="13"/>
  <c r="K36" i="13" s="1"/>
  <c r="M77" i="13"/>
  <c r="Q77" i="13" s="1"/>
  <c r="M76" i="13"/>
  <c r="Q76" i="13" s="1"/>
  <c r="M75" i="13"/>
  <c r="Q75" i="13" s="1"/>
  <c r="M74" i="13"/>
  <c r="Q74" i="13" s="1"/>
  <c r="M73" i="13"/>
  <c r="Q73" i="13" s="1"/>
  <c r="M72" i="13"/>
  <c r="Q72" i="13" s="1"/>
  <c r="J60" i="13"/>
  <c r="M60" i="13" s="1"/>
  <c r="Q60" i="13" s="1"/>
  <c r="J56" i="13"/>
  <c r="M56" i="13" s="1"/>
  <c r="Q56" i="13" s="1"/>
  <c r="J52" i="13"/>
  <c r="M52" i="13" s="1"/>
  <c r="Q52" i="13" s="1"/>
  <c r="J48" i="13"/>
  <c r="M48" i="13" s="1"/>
  <c r="Q48" i="13" s="1"/>
  <c r="J44" i="13"/>
  <c r="M44" i="13" s="1"/>
  <c r="Q44" i="13" s="1"/>
  <c r="J40" i="13"/>
  <c r="M40" i="13" s="1"/>
  <c r="Q40" i="13" s="1"/>
  <c r="J30" i="13"/>
  <c r="M30" i="13" s="1"/>
  <c r="Q30" i="13" s="1"/>
  <c r="M70" i="13"/>
  <c r="Q70" i="13" s="1"/>
  <c r="M69" i="13"/>
  <c r="Q69" i="13" s="1"/>
  <c r="M68" i="13"/>
  <c r="Q68" i="13" s="1"/>
  <c r="M67" i="13"/>
  <c r="Q67" i="13" s="1"/>
  <c r="M65" i="13"/>
  <c r="Q65" i="13" s="1"/>
  <c r="J61" i="13"/>
  <c r="L61" i="13" s="1"/>
  <c r="K60" i="13"/>
  <c r="J57" i="13"/>
  <c r="K56" i="13"/>
  <c r="J53" i="13"/>
  <c r="L53" i="13" s="1"/>
  <c r="J49" i="13"/>
  <c r="K48" i="13"/>
  <c r="J45" i="13"/>
  <c r="K44" i="13"/>
  <c r="J41" i="13"/>
  <c r="K40" i="13"/>
  <c r="J37" i="13"/>
  <c r="J27" i="13"/>
  <c r="M27" i="13" s="1"/>
  <c r="Q27" i="13" s="1"/>
  <c r="J23" i="13"/>
  <c r="M23" i="13" s="1"/>
  <c r="Q23" i="13" s="1"/>
  <c r="J28" i="13"/>
  <c r="M28" i="13" s="1"/>
  <c r="Q28" i="13" s="1"/>
  <c r="J24" i="13"/>
  <c r="M24" i="13" s="1"/>
  <c r="Q24" i="13" s="1"/>
  <c r="G34" i="13"/>
  <c r="H34" i="13"/>
  <c r="K28" i="13"/>
  <c r="K24" i="13"/>
  <c r="H32" i="13"/>
  <c r="J32" i="13" s="1"/>
  <c r="H31" i="13"/>
  <c r="H30" i="13"/>
  <c r="H29" i="13"/>
  <c r="H28" i="13"/>
  <c r="H27" i="13"/>
  <c r="H26" i="13"/>
  <c r="H25" i="13"/>
  <c r="J25" i="13" s="1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J7" i="13"/>
  <c r="H6" i="13"/>
  <c r="M32" i="13" l="1"/>
  <c r="Q32" i="13" s="1"/>
  <c r="K32" i="13"/>
  <c r="N36" i="13"/>
  <c r="N71" i="13"/>
  <c r="O61" i="13"/>
  <c r="M25" i="13"/>
  <c r="Q25" i="13" s="1"/>
  <c r="K25" i="13"/>
  <c r="J9" i="13"/>
  <c r="J13" i="13"/>
  <c r="L21" i="13"/>
  <c r="N28" i="13"/>
  <c r="N40" i="13"/>
  <c r="P40" i="13"/>
  <c r="N48" i="13"/>
  <c r="M55" i="13"/>
  <c r="Q55" i="13" s="1"/>
  <c r="L55" i="13"/>
  <c r="O55" i="13" s="1"/>
  <c r="J80" i="13"/>
  <c r="K80" i="13"/>
  <c r="J96" i="13"/>
  <c r="K96" i="13"/>
  <c r="J35" i="13"/>
  <c r="M35" i="13" s="1"/>
  <c r="Q35" i="13" s="1"/>
  <c r="K35" i="13"/>
  <c r="P77" i="13"/>
  <c r="P67" i="13"/>
  <c r="N67" i="13"/>
  <c r="R67" i="13" s="1"/>
  <c r="L10" i="13"/>
  <c r="J10" i="13"/>
  <c r="L30" i="13"/>
  <c r="O30" i="13" s="1"/>
  <c r="M41" i="13"/>
  <c r="Q41" i="13" s="1"/>
  <c r="K41" i="13"/>
  <c r="M49" i="13"/>
  <c r="Q49" i="13" s="1"/>
  <c r="K49" i="13"/>
  <c r="M57" i="13"/>
  <c r="Q57" i="13" s="1"/>
  <c r="K57" i="13"/>
  <c r="J18" i="13"/>
  <c r="L52" i="13"/>
  <c r="O52" i="13" s="1"/>
  <c r="L71" i="13"/>
  <c r="O71" i="13" s="1"/>
  <c r="L87" i="13"/>
  <c r="O87" i="13" s="1"/>
  <c r="J92" i="13"/>
  <c r="K92" i="13"/>
  <c r="L41" i="13"/>
  <c r="O41" i="13" s="1"/>
  <c r="M59" i="13"/>
  <c r="Q59" i="13" s="1"/>
  <c r="L59" i="13"/>
  <c r="O59" i="13" s="1"/>
  <c r="N47" i="13"/>
  <c r="P47" i="13"/>
  <c r="P83" i="13"/>
  <c r="N83" i="13"/>
  <c r="L49" i="13"/>
  <c r="R42" i="13"/>
  <c r="O72" i="13"/>
  <c r="P93" i="13"/>
  <c r="N93" i="13"/>
  <c r="R93" i="13" s="1"/>
  <c r="P69" i="13"/>
  <c r="N69" i="13"/>
  <c r="R69" i="13" s="1"/>
  <c r="J82" i="13"/>
  <c r="M82" i="13" s="1"/>
  <c r="Q82" i="13" s="1"/>
  <c r="K82" i="13"/>
  <c r="P97" i="13"/>
  <c r="N97" i="13"/>
  <c r="P79" i="13"/>
  <c r="N79" i="13"/>
  <c r="R79" i="13" s="1"/>
  <c r="L86" i="13"/>
  <c r="O86" i="13" s="1"/>
  <c r="N72" i="13"/>
  <c r="J11" i="13"/>
  <c r="J15" i="13"/>
  <c r="L23" i="13"/>
  <c r="O23" i="13" s="1"/>
  <c r="L27" i="13"/>
  <c r="O27" i="13" s="1"/>
  <c r="K30" i="13"/>
  <c r="K34" i="13"/>
  <c r="J34" i="13"/>
  <c r="M34" i="13" s="1"/>
  <c r="Q34" i="13" s="1"/>
  <c r="J31" i="13"/>
  <c r="N44" i="13"/>
  <c r="P44" i="13"/>
  <c r="K52" i="13"/>
  <c r="N60" i="13"/>
  <c r="P60" i="13"/>
  <c r="J22" i="13"/>
  <c r="M39" i="13"/>
  <c r="Q39" i="13" s="1"/>
  <c r="L39" i="13"/>
  <c r="R62" i="13"/>
  <c r="O75" i="13"/>
  <c r="J88" i="13"/>
  <c r="K88" i="13" s="1"/>
  <c r="N43" i="13"/>
  <c r="L56" i="13"/>
  <c r="O56" i="13" s="1"/>
  <c r="O70" i="13"/>
  <c r="R38" i="13"/>
  <c r="M47" i="13"/>
  <c r="Q47" i="13" s="1"/>
  <c r="L47" i="13"/>
  <c r="L64" i="13"/>
  <c r="M64" i="13"/>
  <c r="Q64" i="13" s="1"/>
  <c r="O69" i="13"/>
  <c r="J21" i="13"/>
  <c r="L35" i="13"/>
  <c r="O35" i="13" s="1"/>
  <c r="P85" i="13"/>
  <c r="R85" i="13" s="1"/>
  <c r="N70" i="13"/>
  <c r="L48" i="13"/>
  <c r="O48" i="13" s="1"/>
  <c r="P76" i="13"/>
  <c r="N76" i="13"/>
  <c r="P75" i="13"/>
  <c r="N75" i="13"/>
  <c r="P78" i="13"/>
  <c r="R78" i="13" s="1"/>
  <c r="L82" i="13"/>
  <c r="O82" i="13" s="1"/>
  <c r="P68" i="13"/>
  <c r="N68" i="13"/>
  <c r="K95" i="13"/>
  <c r="P72" i="13"/>
  <c r="N74" i="13"/>
  <c r="L25" i="13"/>
  <c r="O25" i="13" s="1"/>
  <c r="P24" i="13"/>
  <c r="N24" i="13"/>
  <c r="N56" i="13"/>
  <c r="P56" i="13"/>
  <c r="O37" i="13"/>
  <c r="N59" i="13"/>
  <c r="R59" i="13" s="1"/>
  <c r="P59" i="13"/>
  <c r="M63" i="13"/>
  <c r="Q63" i="13" s="1"/>
  <c r="L63" i="13"/>
  <c r="M51" i="13"/>
  <c r="Q51" i="13" s="1"/>
  <c r="L51" i="13"/>
  <c r="O51" i="13" s="1"/>
  <c r="O76" i="13"/>
  <c r="J86" i="13"/>
  <c r="M86" i="13" s="1"/>
  <c r="Q86" i="13" s="1"/>
  <c r="J90" i="13"/>
  <c r="M90" i="13" s="1"/>
  <c r="Q90" i="13" s="1"/>
  <c r="K90" i="13"/>
  <c r="L14" i="13"/>
  <c r="J14" i="13"/>
  <c r="L26" i="13"/>
  <c r="R50" i="13"/>
  <c r="J66" i="13"/>
  <c r="M66" i="13" s="1"/>
  <c r="Q66" i="13" s="1"/>
  <c r="J8" i="13"/>
  <c r="L8" i="13" s="1"/>
  <c r="L12" i="13"/>
  <c r="J12" i="13"/>
  <c r="J16" i="13"/>
  <c r="L24" i="13"/>
  <c r="O24" i="13" s="1"/>
  <c r="L28" i="13"/>
  <c r="O28" i="13" s="1"/>
  <c r="L32" i="13"/>
  <c r="O32" i="13" s="1"/>
  <c r="K23" i="13"/>
  <c r="K27" i="13"/>
  <c r="J20" i="13"/>
  <c r="J19" i="13"/>
  <c r="L19" i="13" s="1"/>
  <c r="M37" i="13"/>
  <c r="Q37" i="13" s="1"/>
  <c r="K37" i="13"/>
  <c r="M45" i="13"/>
  <c r="Q45" i="13" s="1"/>
  <c r="K45" i="13"/>
  <c r="M53" i="13"/>
  <c r="Q53" i="13" s="1"/>
  <c r="K53" i="13"/>
  <c r="M61" i="13"/>
  <c r="Q61" i="13" s="1"/>
  <c r="K61" i="13"/>
  <c r="J26" i="13"/>
  <c r="M71" i="13"/>
  <c r="Q71" i="13" s="1"/>
  <c r="M36" i="13"/>
  <c r="Q36" i="13" s="1"/>
  <c r="L36" i="13"/>
  <c r="O36" i="13" s="1"/>
  <c r="K55" i="13"/>
  <c r="K65" i="13"/>
  <c r="L65" i="13"/>
  <c r="O65" i="13" s="1"/>
  <c r="J84" i="13"/>
  <c r="J17" i="13"/>
  <c r="J33" i="13"/>
  <c r="M33" i="13" s="1"/>
  <c r="Q33" i="13" s="1"/>
  <c r="M43" i="13"/>
  <c r="Q43" i="13" s="1"/>
  <c r="L43" i="13"/>
  <c r="L57" i="13"/>
  <c r="O57" i="13" s="1"/>
  <c r="O74" i="13"/>
  <c r="L44" i="13"/>
  <c r="O44" i="13" s="1"/>
  <c r="K63" i="13"/>
  <c r="O73" i="13"/>
  <c r="J29" i="13"/>
  <c r="K51" i="13"/>
  <c r="N77" i="13"/>
  <c r="R89" i="13"/>
  <c r="R58" i="13"/>
  <c r="P70" i="13"/>
  <c r="K87" i="13"/>
  <c r="J94" i="13"/>
  <c r="M94" i="13" s="1"/>
  <c r="Q94" i="13" s="1"/>
  <c r="K94" i="13"/>
  <c r="P81" i="13"/>
  <c r="N81" i="13"/>
  <c r="K91" i="13"/>
  <c r="N73" i="13"/>
  <c r="R73" i="13" s="1"/>
  <c r="P74" i="13"/>
  <c r="M7" i="13"/>
  <c r="Q7" i="13" s="1"/>
  <c r="K7" i="13"/>
  <c r="L7" i="13"/>
  <c r="O7" i="13" s="1"/>
  <c r="J6" i="13"/>
  <c r="N88" i="13" l="1"/>
  <c r="N94" i="13"/>
  <c r="M29" i="13"/>
  <c r="Q29" i="13" s="1"/>
  <c r="K29" i="13"/>
  <c r="N45" i="13"/>
  <c r="P45" i="13"/>
  <c r="M16" i="13"/>
  <c r="Q16" i="13" s="1"/>
  <c r="K16" i="13"/>
  <c r="R76" i="13"/>
  <c r="M22" i="13"/>
  <c r="Q22" i="13" s="1"/>
  <c r="K22" i="13"/>
  <c r="N34" i="13"/>
  <c r="M11" i="13"/>
  <c r="Q11" i="13" s="1"/>
  <c r="K11" i="13"/>
  <c r="M18" i="13"/>
  <c r="Q18" i="13" s="1"/>
  <c r="K18" i="13"/>
  <c r="O10" i="13"/>
  <c r="L29" i="13"/>
  <c r="O29" i="13" s="1"/>
  <c r="M9" i="13"/>
  <c r="Q9" i="13" s="1"/>
  <c r="K9" i="13"/>
  <c r="R36" i="13"/>
  <c r="K33" i="13"/>
  <c r="L16" i="13"/>
  <c r="O45" i="13"/>
  <c r="P95" i="13"/>
  <c r="N95" i="13"/>
  <c r="O64" i="13"/>
  <c r="L33" i="13"/>
  <c r="O33" i="13" s="1"/>
  <c r="R44" i="13"/>
  <c r="P30" i="13"/>
  <c r="N30" i="13"/>
  <c r="R30" i="13" s="1"/>
  <c r="L11" i="13"/>
  <c r="O11" i="13" s="1"/>
  <c r="P82" i="13"/>
  <c r="N82" i="13"/>
  <c r="P92" i="13"/>
  <c r="N57" i="13"/>
  <c r="P57" i="13"/>
  <c r="N41" i="13"/>
  <c r="P41" i="13"/>
  <c r="L22" i="13"/>
  <c r="L94" i="13"/>
  <c r="O94" i="13" s="1"/>
  <c r="P35" i="13"/>
  <c r="N35" i="13"/>
  <c r="R35" i="13" s="1"/>
  <c r="L96" i="13"/>
  <c r="M96" i="13"/>
  <c r="Q96" i="13" s="1"/>
  <c r="R40" i="13"/>
  <c r="O21" i="13"/>
  <c r="L9" i="13"/>
  <c r="O9" i="13" s="1"/>
  <c r="O53" i="13"/>
  <c r="R81" i="13"/>
  <c r="P87" i="13"/>
  <c r="N87" i="13"/>
  <c r="R87" i="13" s="1"/>
  <c r="R77" i="13"/>
  <c r="N63" i="13"/>
  <c r="R63" i="13" s="1"/>
  <c r="P63" i="13"/>
  <c r="O43" i="13"/>
  <c r="R43" i="13" s="1"/>
  <c r="M17" i="13"/>
  <c r="Q17" i="13" s="1"/>
  <c r="K17" i="13"/>
  <c r="N65" i="13"/>
  <c r="P65" i="13"/>
  <c r="N53" i="13"/>
  <c r="P53" i="13"/>
  <c r="N37" i="13"/>
  <c r="P37" i="13"/>
  <c r="P27" i="13"/>
  <c r="N27" i="13"/>
  <c r="R27" i="13" s="1"/>
  <c r="M12" i="13"/>
  <c r="Q12" i="13" s="1"/>
  <c r="K12" i="13"/>
  <c r="K66" i="13"/>
  <c r="M14" i="13"/>
  <c r="Q14" i="13" s="1"/>
  <c r="K14" i="13"/>
  <c r="K86" i="13"/>
  <c r="R56" i="13"/>
  <c r="L17" i="13"/>
  <c r="O17" i="13" s="1"/>
  <c r="R68" i="13"/>
  <c r="R75" i="13"/>
  <c r="M21" i="13"/>
  <c r="Q21" i="13" s="1"/>
  <c r="K21" i="13"/>
  <c r="O47" i="13"/>
  <c r="R47" i="13" s="1"/>
  <c r="O39" i="13"/>
  <c r="R60" i="13"/>
  <c r="M31" i="13"/>
  <c r="Q31" i="13" s="1"/>
  <c r="K31" i="13"/>
  <c r="L31" i="13"/>
  <c r="M15" i="13"/>
  <c r="Q15" i="13" s="1"/>
  <c r="K15" i="13"/>
  <c r="L90" i="13"/>
  <c r="O90" i="13" s="1"/>
  <c r="O49" i="13"/>
  <c r="P64" i="13"/>
  <c r="M92" i="13"/>
  <c r="Q92" i="13" s="1"/>
  <c r="L92" i="13"/>
  <c r="P39" i="13"/>
  <c r="L18" i="13"/>
  <c r="O18" i="13" s="1"/>
  <c r="P48" i="13"/>
  <c r="M13" i="13"/>
  <c r="Q13" i="13" s="1"/>
  <c r="K13" i="13"/>
  <c r="P25" i="13"/>
  <c r="N25" i="13"/>
  <c r="R25" i="13" s="1"/>
  <c r="P71" i="13"/>
  <c r="R71" i="13" s="1"/>
  <c r="P32" i="13"/>
  <c r="N32" i="13"/>
  <c r="M84" i="13"/>
  <c r="Q84" i="13" s="1"/>
  <c r="L84" i="13"/>
  <c r="O84" i="13" s="1"/>
  <c r="N61" i="13"/>
  <c r="R61" i="13" s="1"/>
  <c r="P61" i="13"/>
  <c r="M19" i="13"/>
  <c r="Q19" i="13" s="1"/>
  <c r="K19" i="13"/>
  <c r="M8" i="13"/>
  <c r="Q8" i="13" s="1"/>
  <c r="K8" i="13"/>
  <c r="P90" i="13"/>
  <c r="N90" i="13"/>
  <c r="R90" i="13" s="1"/>
  <c r="P96" i="13"/>
  <c r="N96" i="13"/>
  <c r="P91" i="13"/>
  <c r="N91" i="13"/>
  <c r="R91" i="13" s="1"/>
  <c r="M20" i="13"/>
  <c r="Q20" i="13" s="1"/>
  <c r="K20" i="13"/>
  <c r="N51" i="13"/>
  <c r="P51" i="13"/>
  <c r="K84" i="13"/>
  <c r="N55" i="13"/>
  <c r="P55" i="13"/>
  <c r="M26" i="13"/>
  <c r="Q26" i="13" s="1"/>
  <c r="K26" i="13"/>
  <c r="P23" i="13"/>
  <c r="N23" i="13"/>
  <c r="R23" i="13" s="1"/>
  <c r="L20" i="13"/>
  <c r="O20" i="13" s="1"/>
  <c r="O12" i="13"/>
  <c r="O63" i="13"/>
  <c r="R24" i="13"/>
  <c r="R74" i="13"/>
  <c r="R70" i="13"/>
  <c r="P43" i="13"/>
  <c r="L88" i="13"/>
  <c r="O88" i="13" s="1"/>
  <c r="M88" i="13"/>
  <c r="Q88" i="13" s="1"/>
  <c r="N52" i="13"/>
  <c r="P52" i="13"/>
  <c r="L15" i="13"/>
  <c r="O15" i="13" s="1"/>
  <c r="R72" i="13"/>
  <c r="R97" i="13"/>
  <c r="R83" i="13"/>
  <c r="N64" i="13"/>
  <c r="R64" i="13" s="1"/>
  <c r="N39" i="13"/>
  <c r="R39" i="13" s="1"/>
  <c r="N49" i="13"/>
  <c r="P49" i="13"/>
  <c r="L34" i="13"/>
  <c r="O34" i="13" s="1"/>
  <c r="M10" i="13"/>
  <c r="Q10" i="13" s="1"/>
  <c r="K10" i="13"/>
  <c r="L66" i="13"/>
  <c r="O66" i="13" s="1"/>
  <c r="L80" i="13"/>
  <c r="O80" i="13" s="1"/>
  <c r="M80" i="13"/>
  <c r="Q80" i="13" s="1"/>
  <c r="R48" i="13"/>
  <c r="P28" i="13"/>
  <c r="R28" i="13" s="1"/>
  <c r="L13" i="13"/>
  <c r="O13" i="13" s="1"/>
  <c r="P36" i="13"/>
  <c r="P7" i="13"/>
  <c r="N7" i="13"/>
  <c r="K6" i="13"/>
  <c r="M6" i="13"/>
  <c r="Q6" i="13" s="1"/>
  <c r="L6" i="13"/>
  <c r="O6" i="13" s="1"/>
  <c r="P80" i="13" l="1"/>
  <c r="P15" i="13"/>
  <c r="N15" i="13"/>
  <c r="R15" i="13" s="1"/>
  <c r="N92" i="13"/>
  <c r="P22" i="13"/>
  <c r="N22" i="13"/>
  <c r="P29" i="13"/>
  <c r="N29" i="13"/>
  <c r="R29" i="13" s="1"/>
  <c r="R53" i="13"/>
  <c r="R41" i="13"/>
  <c r="P88" i="13"/>
  <c r="R88" i="13" s="1"/>
  <c r="P10" i="13"/>
  <c r="N10" i="13"/>
  <c r="R49" i="13"/>
  <c r="R52" i="13"/>
  <c r="O14" i="13"/>
  <c r="R55" i="13"/>
  <c r="P20" i="13"/>
  <c r="N20" i="13"/>
  <c r="R20" i="13" s="1"/>
  <c r="R96" i="13"/>
  <c r="P8" i="13"/>
  <c r="N8" i="13"/>
  <c r="R32" i="13"/>
  <c r="O31" i="13"/>
  <c r="P86" i="13"/>
  <c r="N86" i="13"/>
  <c r="R86" i="13" s="1"/>
  <c r="P12" i="13"/>
  <c r="N12" i="13"/>
  <c r="R12" i="13" s="1"/>
  <c r="O26" i="13"/>
  <c r="P9" i="13"/>
  <c r="N9" i="13"/>
  <c r="R9" i="13" s="1"/>
  <c r="P18" i="13"/>
  <c r="N18" i="13"/>
  <c r="R34" i="13"/>
  <c r="O19" i="13"/>
  <c r="P19" i="13"/>
  <c r="N19" i="13"/>
  <c r="P21" i="13"/>
  <c r="N21" i="13"/>
  <c r="R21" i="13" s="1"/>
  <c r="P17" i="13"/>
  <c r="N17" i="13"/>
  <c r="R17" i="13" s="1"/>
  <c r="P33" i="13"/>
  <c r="N33" i="13"/>
  <c r="R33" i="13" s="1"/>
  <c r="P11" i="13"/>
  <c r="N11" i="13"/>
  <c r="R11" i="13" s="1"/>
  <c r="P16" i="13"/>
  <c r="N16" i="13"/>
  <c r="R51" i="13"/>
  <c r="P66" i="13"/>
  <c r="N66" i="13"/>
  <c r="R66" i="13" s="1"/>
  <c r="P26" i="13"/>
  <c r="N26" i="13"/>
  <c r="R26" i="13" s="1"/>
  <c r="P84" i="13"/>
  <c r="N84" i="13"/>
  <c r="R84" i="13" s="1"/>
  <c r="P13" i="13"/>
  <c r="N13" i="13"/>
  <c r="R13" i="13" s="1"/>
  <c r="N80" i="13"/>
  <c r="R80" i="13" s="1"/>
  <c r="O92" i="13"/>
  <c r="P31" i="13"/>
  <c r="N31" i="13"/>
  <c r="P14" i="13"/>
  <c r="N14" i="13"/>
  <c r="R14" i="13" s="1"/>
  <c r="R37" i="13"/>
  <c r="R65" i="13"/>
  <c r="O96" i="13"/>
  <c r="O22" i="13"/>
  <c r="R57" i="13"/>
  <c r="R82" i="13"/>
  <c r="R95" i="13"/>
  <c r="O16" i="13"/>
  <c r="P34" i="13"/>
  <c r="R45" i="13"/>
  <c r="P94" i="13"/>
  <c r="R94" i="13" s="1"/>
  <c r="O8" i="13"/>
  <c r="R7" i="13"/>
  <c r="P6" i="13"/>
  <c r="N6" i="13"/>
  <c r="R6" i="13" s="1"/>
  <c r="R16" i="13" l="1"/>
  <c r="R92" i="13"/>
  <c r="R31" i="13"/>
  <c r="R19" i="13"/>
  <c r="R8" i="13"/>
  <c r="R22" i="13"/>
  <c r="R18" i="13"/>
  <c r="R10" i="13"/>
  <c r="F4" i="14"/>
  <c r="F5" i="14"/>
  <c r="F6" i="14"/>
  <c r="H15" i="14" s="1"/>
  <c r="F7" i="14"/>
  <c r="F14" i="14" s="1"/>
  <c r="C14" i="14"/>
  <c r="D4" i="14" s="1"/>
  <c r="G6" i="14" l="1"/>
  <c r="G5" i="14"/>
  <c r="G7" i="14"/>
  <c r="I13" i="14" s="1"/>
  <c r="J13" i="14" s="1"/>
  <c r="K13" i="14" s="1"/>
  <c r="G4" i="14"/>
  <c r="I4" i="14" s="1"/>
  <c r="J4" i="14" s="1"/>
  <c r="I11" i="14"/>
  <c r="J11" i="14" s="1"/>
  <c r="K11" i="14" s="1"/>
  <c r="I8" i="14"/>
  <c r="J8" i="14" s="1"/>
  <c r="K8" i="14" s="1"/>
  <c r="I9" i="14"/>
  <c r="J9" i="14" s="1"/>
  <c r="K9" i="14" s="1"/>
  <c r="D13" i="14"/>
  <c r="D11" i="14"/>
  <c r="D9" i="14"/>
  <c r="D12" i="14"/>
  <c r="D10" i="14"/>
  <c r="D8" i="14"/>
  <c r="D16" i="14" s="1"/>
  <c r="D7" i="14"/>
  <c r="D6" i="14"/>
  <c r="D5" i="14"/>
  <c r="G6" i="12"/>
  <c r="G7" i="12"/>
  <c r="G8" i="12"/>
  <c r="G5" i="12"/>
  <c r="D10" i="12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12" i="8"/>
  <c r="D6" i="8"/>
  <c r="D7" i="8"/>
  <c r="H7" i="8" s="1"/>
  <c r="D8" i="8"/>
  <c r="F8" i="8" s="1"/>
  <c r="D9" i="8"/>
  <c r="H9" i="8" s="1"/>
  <c r="D10" i="8"/>
  <c r="D11" i="8"/>
  <c r="H11" i="8" s="1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5" i="8"/>
  <c r="H5" i="8" s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5" i="8"/>
  <c r="F6" i="8"/>
  <c r="G6" i="8"/>
  <c r="H6" i="8"/>
  <c r="I6" i="8"/>
  <c r="I7" i="8"/>
  <c r="I8" i="8"/>
  <c r="F10" i="8"/>
  <c r="G10" i="8"/>
  <c r="H10" i="8"/>
  <c r="I10" i="8"/>
  <c r="I11" i="8"/>
  <c r="K41" i="4"/>
  <c r="K40" i="4"/>
  <c r="K46" i="4" s="1"/>
  <c r="L41" i="4"/>
  <c r="L40" i="4"/>
  <c r="L42" i="4" s="1"/>
  <c r="K43" i="4"/>
  <c r="G40" i="4"/>
  <c r="H40" i="4"/>
  <c r="C40" i="4"/>
  <c r="D40" i="4"/>
  <c r="G41" i="4"/>
  <c r="G42" i="4"/>
  <c r="H41" i="4"/>
  <c r="H42" i="4"/>
  <c r="G43" i="4"/>
  <c r="H43" i="4"/>
  <c r="D43" i="4"/>
  <c r="C43" i="4"/>
  <c r="C41" i="4"/>
  <c r="C42" i="4" s="1"/>
  <c r="D41" i="4"/>
  <c r="D42" i="4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G5" i="8"/>
  <c r="B40" i="8"/>
  <c r="C40" i="8"/>
  <c r="I5" i="8"/>
  <c r="D41" i="2"/>
  <c r="D40" i="1"/>
  <c r="H45" i="1" s="1"/>
  <c r="H46" i="1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12" i="2"/>
  <c r="E5" i="1"/>
  <c r="E6" i="1"/>
  <c r="E7" i="1"/>
  <c r="E8" i="1"/>
  <c r="E9" i="1"/>
  <c r="E10" i="1"/>
  <c r="E11" i="1"/>
  <c r="F5" i="1"/>
  <c r="F41" i="1" s="1"/>
  <c r="F6" i="1"/>
  <c r="F7" i="1"/>
  <c r="F8" i="1"/>
  <c r="F9" i="1"/>
  <c r="F10" i="1"/>
  <c r="F11" i="1"/>
  <c r="C41" i="1"/>
  <c r="C42" i="1" s="1"/>
  <c r="D41" i="1"/>
  <c r="C40" i="1"/>
  <c r="D42" i="1"/>
  <c r="D46" i="1" l="1"/>
  <c r="C46" i="4"/>
  <c r="K42" i="4"/>
  <c r="K45" i="4" s="1"/>
  <c r="D44" i="1"/>
  <c r="G45" i="4"/>
  <c r="E41" i="1"/>
  <c r="D45" i="1" s="1"/>
  <c r="C45" i="4"/>
  <c r="G46" i="4"/>
  <c r="I9" i="8"/>
  <c r="H8" i="8"/>
  <c r="F5" i="8"/>
  <c r="C44" i="8"/>
  <c r="G8" i="8"/>
  <c r="G10" i="12"/>
  <c r="G11" i="8"/>
  <c r="G7" i="8"/>
  <c r="D40" i="8"/>
  <c r="G9" i="8"/>
  <c r="C43" i="8"/>
  <c r="F11" i="8"/>
  <c r="F9" i="8"/>
  <c r="F7" i="8"/>
  <c r="C42" i="8" s="1"/>
  <c r="I7" i="14"/>
  <c r="J7" i="14" s="1"/>
  <c r="K7" i="14" s="1"/>
  <c r="I10" i="14"/>
  <c r="J10" i="14" s="1"/>
  <c r="K10" i="14" s="1"/>
  <c r="D17" i="14"/>
  <c r="K4" i="14"/>
  <c r="I6" i="14"/>
  <c r="J6" i="14" s="1"/>
  <c r="K6" i="14" s="1"/>
  <c r="G14" i="14"/>
  <c r="D18" i="14"/>
  <c r="I5" i="14"/>
  <c r="J5" i="14" s="1"/>
  <c r="K5" i="14" s="1"/>
  <c r="I12" i="14"/>
  <c r="J12" i="14" s="1"/>
  <c r="K12" i="14" s="1"/>
  <c r="D14" i="14"/>
  <c r="F41" i="2"/>
  <c r="I14" i="14"/>
  <c r="D48" i="1" l="1"/>
  <c r="D50" i="1" s="1"/>
  <c r="I45" i="1" s="1"/>
  <c r="J45" i="1" s="1"/>
  <c r="D49" i="1"/>
  <c r="I44" i="1" s="1"/>
  <c r="F10" i="12"/>
  <c r="G47" i="8"/>
  <c r="E47" i="8"/>
  <c r="C45" i="8"/>
  <c r="C46" i="8" s="1"/>
  <c r="F47" i="8"/>
  <c r="K15" i="14"/>
  <c r="J14" i="14"/>
  <c r="J44" i="1" l="1"/>
  <c r="K44" i="1" s="1"/>
  <c r="I46" i="1"/>
  <c r="C47" i="8"/>
  <c r="E48" i="8" s="1"/>
</calcChain>
</file>

<file path=xl/sharedStrings.xml><?xml version="1.0" encoding="utf-8"?>
<sst xmlns="http://schemas.openxmlformats.org/spreadsheetml/2006/main" count="437" uniqueCount="288">
  <si>
    <t>X</t>
  </si>
  <si>
    <t>Y</t>
  </si>
  <si>
    <t>X^2</t>
  </si>
  <si>
    <t>Y^2</t>
  </si>
  <si>
    <t>Count =</t>
  </si>
  <si>
    <t xml:space="preserve">Sum = </t>
  </si>
  <si>
    <t xml:space="preserve">Mean = </t>
  </si>
  <si>
    <t>df</t>
  </si>
  <si>
    <t>SS</t>
  </si>
  <si>
    <t>MS</t>
  </si>
  <si>
    <t>F</t>
  </si>
  <si>
    <t>Total</t>
  </si>
  <si>
    <t>Bx Cols</t>
  </si>
  <si>
    <t>Sum Sq</t>
  </si>
  <si>
    <t>W/i Col error</t>
  </si>
  <si>
    <t>SSGT/n</t>
  </si>
  <si>
    <t>CT</t>
  </si>
  <si>
    <t>SS total</t>
  </si>
  <si>
    <t>SS groups*</t>
  </si>
  <si>
    <t>SS w/in</t>
  </si>
  <si>
    <t>*for two groups with equal sample sizes, SS(groups) = square of difference of sums, over sample size</t>
  </si>
  <si>
    <t>G</t>
  </si>
  <si>
    <t>d</t>
  </si>
  <si>
    <t>df =</t>
  </si>
  <si>
    <t>Obs</t>
  </si>
  <si>
    <t>Sum</t>
  </si>
  <si>
    <r>
      <t xml:space="preserve">= </t>
    </r>
    <r>
      <rPr>
        <b/>
        <i/>
        <sz val="14"/>
        <color theme="1"/>
        <rFont val="Calibri"/>
        <family val="2"/>
        <scheme val="minor"/>
      </rPr>
      <t>q</t>
    </r>
  </si>
  <si>
    <r>
      <t xml:space="preserve">Σ* </t>
    </r>
    <r>
      <rPr>
        <b/>
        <i/>
        <sz val="14"/>
        <color theme="1"/>
        <rFont val="Calibri"/>
        <family val="2"/>
      </rPr>
      <t>ln</t>
    </r>
    <r>
      <rPr>
        <b/>
        <sz val="14"/>
        <color theme="1"/>
        <rFont val="Calibri"/>
        <family val="2"/>
      </rPr>
      <t>Σ</t>
    </r>
  </si>
  <si>
    <t>Σ</t>
  </si>
  <si>
    <t>1/Σ</t>
  </si>
  <si>
    <t xml:space="preserve">G(adj) = G/q = </t>
  </si>
  <si>
    <r>
      <rPr>
        <b/>
        <sz val="14"/>
        <color theme="1"/>
        <rFont val="Calibri"/>
        <family val="2"/>
        <scheme val="minor"/>
      </rPr>
      <t>G</t>
    </r>
    <r>
      <rPr>
        <sz val="14"/>
        <color theme="1"/>
        <rFont val="Calibri"/>
        <family val="2"/>
        <scheme val="minor"/>
      </rPr>
      <t xml:space="preserve"> = 2[Σcell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 xml:space="preserve">f - (Σrow &amp;  Σcolumn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 xml:space="preserve">f) + grand Σ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f)]</t>
    </r>
  </si>
  <si>
    <r>
      <rPr>
        <b/>
        <i/>
        <sz val="14"/>
        <color theme="1"/>
        <rFont val="Calibri"/>
        <family val="2"/>
        <scheme val="minor"/>
      </rPr>
      <t>X</t>
    </r>
    <r>
      <rPr>
        <b/>
        <sz val="14"/>
        <color theme="1"/>
        <rFont val="Calibri"/>
        <family val="2"/>
        <scheme val="minor"/>
      </rPr>
      <t>^2 =</t>
    </r>
  </si>
  <si>
    <t>I</t>
  </si>
  <si>
    <t>II</t>
  </si>
  <si>
    <t>n</t>
  </si>
  <si>
    <t>mean</t>
  </si>
  <si>
    <t>StdDev</t>
  </si>
  <si>
    <t xml:space="preserve">t = </t>
  </si>
  <si>
    <r>
      <t>Equal</t>
    </r>
    <r>
      <rPr>
        <b/>
        <i/>
        <sz val="16"/>
        <color theme="1"/>
        <rFont val="Calibri"/>
        <family val="2"/>
        <scheme val="minor"/>
      </rPr>
      <t xml:space="preserve"> n</t>
    </r>
  </si>
  <si>
    <t xml:space="preserve">df = </t>
  </si>
  <si>
    <t>Sample</t>
  </si>
  <si>
    <t>Single obs</t>
  </si>
  <si>
    <r>
      <t xml:space="preserve">if </t>
    </r>
    <r>
      <rPr>
        <b/>
        <sz val="14"/>
        <color theme="1"/>
        <rFont val="Calibri"/>
        <family val="2"/>
        <scheme val="minor"/>
      </rPr>
      <t>n&gt;&gt;1</t>
    </r>
    <r>
      <rPr>
        <sz val="14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Calibri"/>
        <family val="2"/>
        <scheme val="minor"/>
      </rPr>
      <t>t = (u1 - u2)/s1</t>
    </r>
  </si>
  <si>
    <r>
      <t xml:space="preserve">Unequal </t>
    </r>
    <r>
      <rPr>
        <b/>
        <i/>
        <sz val="16"/>
        <color theme="1"/>
        <rFont val="Calibri"/>
        <family val="2"/>
        <scheme val="minor"/>
      </rPr>
      <t>n</t>
    </r>
  </si>
  <si>
    <t>Lithuanians</t>
  </si>
  <si>
    <t>Malays</t>
  </si>
  <si>
    <t>Māori</t>
  </si>
  <si>
    <t>Mayans</t>
  </si>
  <si>
    <t>Moros</t>
  </si>
  <si>
    <t>Navajo Indians</t>
  </si>
  <si>
    <t>Observed</t>
  </si>
  <si>
    <t>Estimate^</t>
  </si>
  <si>
    <t>Correction</t>
  </si>
  <si>
    <t>Expected*</t>
  </si>
  <si>
    <t>Item</t>
  </si>
  <si>
    <t>Group</t>
  </si>
  <si>
    <t xml:space="preserve">A </t>
  </si>
  <si>
    <t xml:space="preserve">B </t>
  </si>
  <si>
    <t xml:space="preserve">AB </t>
  </si>
  <si>
    <t xml:space="preserve">O </t>
  </si>
  <si>
    <t>A</t>
  </si>
  <si>
    <t>B</t>
  </si>
  <si>
    <t>O</t>
  </si>
  <si>
    <t>D</t>
  </si>
  <si>
    <t>AB</t>
  </si>
  <si>
    <r>
      <t xml:space="preserve">I * </t>
    </r>
    <r>
      <rPr>
        <b/>
        <i/>
        <sz val="14"/>
        <color theme="1"/>
        <rFont val="Calibri"/>
        <family val="2"/>
        <scheme val="minor"/>
      </rPr>
      <t>ln I</t>
    </r>
  </si>
  <si>
    <r>
      <t xml:space="preserve">II * </t>
    </r>
    <r>
      <rPr>
        <b/>
        <i/>
        <sz val="14"/>
        <color theme="1"/>
        <rFont val="Calibri"/>
        <family val="2"/>
        <scheme val="minor"/>
      </rPr>
      <t>ln II</t>
    </r>
  </si>
  <si>
    <t>Type</t>
  </si>
  <si>
    <t>d^2/Y</t>
  </si>
  <si>
    <t>Abyssinians</t>
  </si>
  <si>
    <t>Ainu (Japan)</t>
  </si>
  <si>
    <t>Albanians</t>
  </si>
  <si>
    <t>Grand Andamanese</t>
  </si>
  <si>
    <t>Arabs</t>
  </si>
  <si>
    <t>Armenians</t>
  </si>
  <si>
    <t>Asian Americans</t>
  </si>
  <si>
    <t>Austrians</t>
  </si>
  <si>
    <t>Bantus</t>
  </si>
  <si>
    <t>Basques</t>
  </si>
  <si>
    <t>Belgians</t>
  </si>
  <si>
    <t>Bororo (Brazil)</t>
  </si>
  <si>
    <t>Brazilians</t>
  </si>
  <si>
    <t>Bulgarians</t>
  </si>
  <si>
    <t>Burmese</t>
  </si>
  <si>
    <t>Buryats (Siberia)</t>
  </si>
  <si>
    <t>Bushmen</t>
  </si>
  <si>
    <t>Chuvash</t>
  </si>
  <si>
    <t>Croats</t>
  </si>
  <si>
    <t>Czechs</t>
  </si>
  <si>
    <t>Danes</t>
  </si>
  <si>
    <t>Dutch</t>
  </si>
  <si>
    <t>Egyptians</t>
  </si>
  <si>
    <t>English</t>
  </si>
  <si>
    <t>Inuit (Alaska)</t>
  </si>
  <si>
    <t>Inuit (Greenland)</t>
  </si>
  <si>
    <t>Estonians</t>
  </si>
  <si>
    <t>Fijians</t>
  </si>
  <si>
    <t>Finns</t>
  </si>
  <si>
    <t>French</t>
  </si>
  <si>
    <t>Georgians</t>
  </si>
  <si>
    <t>Germans</t>
  </si>
  <si>
    <t>Greeks</t>
  </si>
  <si>
    <t>Hawaiians</t>
  </si>
  <si>
    <t>Hindus (Bombay)</t>
  </si>
  <si>
    <t>Hungarians</t>
  </si>
  <si>
    <t>Icelanders</t>
  </si>
  <si>
    <t>Indians (India)</t>
  </si>
  <si>
    <t>Native Americans</t>
  </si>
  <si>
    <t>Irish</t>
  </si>
  <si>
    <t>Italians (Milan)</t>
  </si>
  <si>
    <t>Japanese</t>
  </si>
  <si>
    <t>Jews (Germany)</t>
  </si>
  <si>
    <t>Jews (Poland)</t>
  </si>
  <si>
    <t>Kalmuks</t>
  </si>
  <si>
    <t>Kikuyu (Kenya)</t>
  </si>
  <si>
    <t>Koreans</t>
  </si>
  <si>
    <t>Sami people</t>
  </si>
  <si>
    <t>Latvians</t>
  </si>
  <si>
    <t>Nicobarese</t>
  </si>
  <si>
    <t>Norwegians</t>
  </si>
  <si>
    <t>Papuans (New Guinea)</t>
  </si>
  <si>
    <t>Persians</t>
  </si>
  <si>
    <t>Peruvian Indians</t>
  </si>
  <si>
    <t>Filipinos</t>
  </si>
  <si>
    <t>Poles</t>
  </si>
  <si>
    <t>Portuguese</t>
  </si>
  <si>
    <t>Romanians</t>
  </si>
  <si>
    <t>Russians</t>
  </si>
  <si>
    <t>Sardinians</t>
  </si>
  <si>
    <t>Scots</t>
  </si>
  <si>
    <t>Serbians</t>
  </si>
  <si>
    <t>Shompen Nicobarese</t>
  </si>
  <si>
    <t>Slovaks</t>
  </si>
  <si>
    <t>South Africans</t>
  </si>
  <si>
    <t>Spanish</t>
  </si>
  <si>
    <t>Sudanese</t>
  </si>
  <si>
    <t>Swedish</t>
  </si>
  <si>
    <t>Swiss</t>
  </si>
  <si>
    <t>Tatars</t>
  </si>
  <si>
    <t>Thais</t>
  </si>
  <si>
    <t>Turks</t>
  </si>
  <si>
    <t>Ukrainians</t>
  </si>
  <si>
    <t>Black Americans</t>
  </si>
  <si>
    <t>White Americans</t>
  </si>
  <si>
    <t>Vietnamese</t>
  </si>
  <si>
    <t>C&amp;S 1971 Pygmies, CAR</t>
  </si>
  <si>
    <t>Korean</t>
  </si>
  <si>
    <t>German</t>
  </si>
  <si>
    <r>
      <rPr>
        <b/>
        <i/>
        <sz val="14"/>
        <color rgb="FFFF0000"/>
        <rFont val="Calibri"/>
        <family val="2"/>
        <scheme val="minor"/>
      </rPr>
      <t>X</t>
    </r>
    <r>
      <rPr>
        <b/>
        <sz val="14"/>
        <color rgb="FFFF0000"/>
        <rFont val="Calibri"/>
        <family val="2"/>
        <scheme val="minor"/>
      </rPr>
      <t>^2 =</t>
    </r>
  </si>
  <si>
    <r>
      <t>Single-Classification ANOVA with equal sample size</t>
    </r>
    <r>
      <rPr>
        <sz val="12"/>
        <color theme="1"/>
        <rFont val="Calibri"/>
        <family val="2"/>
        <scheme val="minor"/>
      </rPr>
      <t xml:space="preserve"> (from Sokal &amp; Rohlf 1969)</t>
    </r>
  </si>
  <si>
    <r>
      <t>Pearson Chi-Square test</t>
    </r>
    <r>
      <rPr>
        <sz val="12"/>
        <color theme="1"/>
        <rFont val="Calibri"/>
        <family val="2"/>
        <scheme val="minor"/>
      </rPr>
      <t xml:space="preserve"> (after Sokal &amp; Rohlf 1969)</t>
    </r>
  </si>
  <si>
    <t>p =</t>
  </si>
  <si>
    <r>
      <t>0.05</t>
    </r>
    <r>
      <rPr>
        <b/>
        <sz val="16"/>
        <color rgb="FFFF0000"/>
        <rFont val="Calibri"/>
        <family val="2"/>
        <scheme val="minor"/>
      </rPr>
      <t>*</t>
    </r>
  </si>
  <si>
    <r>
      <t>0.01</t>
    </r>
    <r>
      <rPr>
        <b/>
        <sz val="16"/>
        <color rgb="FFFF0000"/>
        <rFont val="Calibri"/>
        <family val="2"/>
        <scheme val="minor"/>
      </rPr>
      <t>**</t>
    </r>
  </si>
  <si>
    <r>
      <t>0.001</t>
    </r>
    <r>
      <rPr>
        <b/>
        <sz val="16"/>
        <color rgb="FFFF0000"/>
        <rFont val="Calibri"/>
        <family val="2"/>
        <scheme val="minor"/>
      </rPr>
      <t>***</t>
    </r>
  </si>
  <si>
    <t>d^2</t>
  </si>
  <si>
    <t>d^2/X</t>
  </si>
  <si>
    <t>Zazit</t>
  </si>
  <si>
    <t>Yekko</t>
  </si>
  <si>
    <t>Thnadners</t>
  </si>
  <si>
    <t>Spazzim</t>
  </si>
  <si>
    <t>Nutches</t>
  </si>
  <si>
    <t>Glikkers</t>
  </si>
  <si>
    <t>*,**,***</t>
  </si>
  <si>
    <t>NN</t>
  </si>
  <si>
    <t>MN</t>
  </si>
  <si>
    <t>MM</t>
  </si>
  <si>
    <t>p</t>
  </si>
  <si>
    <t>f(genotypes)</t>
  </si>
  <si>
    <t xml:space="preserve">F=(Ho-He)/He= </t>
  </si>
  <si>
    <t>H(exp)=</t>
  </si>
  <si>
    <t>H(obs)=</t>
  </si>
  <si>
    <t>TT</t>
  </si>
  <si>
    <t>GT</t>
  </si>
  <si>
    <t>GG</t>
  </si>
  <si>
    <t>CG</t>
  </si>
  <si>
    <t>CC</t>
  </si>
  <si>
    <t>AT</t>
  </si>
  <si>
    <t>T</t>
  </si>
  <si>
    <t>AG</t>
  </si>
  <si>
    <t>AC</t>
  </si>
  <si>
    <t>C</t>
  </si>
  <si>
    <t>AA</t>
  </si>
  <si>
    <r>
      <rPr>
        <b/>
        <i/>
        <sz val="14"/>
        <color indexed="8"/>
        <rFont val="Calibri"/>
        <family val="2"/>
      </rPr>
      <t>X</t>
    </r>
    <r>
      <rPr>
        <b/>
        <sz val="14"/>
        <color indexed="8"/>
        <rFont val="Calibri"/>
        <family val="2"/>
      </rPr>
      <t>^2</t>
    </r>
  </si>
  <si>
    <t>Count' (exp)</t>
  </si>
  <si>
    <t>f(exp)</t>
  </si>
  <si>
    <t>genotype'</t>
  </si>
  <si>
    <t>f(allele)</t>
  </si>
  <si>
    <t>count</t>
  </si>
  <si>
    <t>allele</t>
  </si>
  <si>
    <t>f (obs)</t>
  </si>
  <si>
    <t>Count (obs)</t>
  </si>
  <si>
    <t>genotype</t>
  </si>
  <si>
    <t>Chi-Square calculations for up to 4 SNP variants at a segregating site</t>
  </si>
  <si>
    <t>row Σ</t>
  </si>
  <si>
    <t>= sum (cell * ln(cell) )</t>
  </si>
  <si>
    <t>= sum ( Σ* lnΣ )</t>
  </si>
  <si>
    <r>
      <t>= sum (I*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I) + sum(II*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lI)</t>
    </r>
  </si>
  <si>
    <r>
      <rPr>
        <sz val="14"/>
        <color rgb="FFFF0000"/>
        <rFont val="Calibri"/>
        <family val="2"/>
        <scheme val="minor"/>
      </rPr>
      <t>=</t>
    </r>
    <r>
      <rPr>
        <b/>
        <sz val="14"/>
        <color rgb="FFFF0000"/>
        <rFont val="Calibri"/>
        <family val="2"/>
        <scheme val="minor"/>
      </rPr>
      <t xml:space="preserve"> G</t>
    </r>
  </si>
  <si>
    <t>= 2[sum of cell transforms - (sums of row &amp; column transforms) + sum of sum transform]</t>
  </si>
  <si>
    <t>0.05*</t>
  </si>
  <si>
    <t>0.01**</t>
  </si>
  <si>
    <t>0.001***</t>
  </si>
  <si>
    <t>df = 3</t>
  </si>
  <si>
    <t>Expected^</t>
  </si>
  <si>
    <t>*</t>
  </si>
  <si>
    <t>***</t>
  </si>
  <si>
    <r>
      <t>0.05</t>
    </r>
    <r>
      <rPr>
        <b/>
        <sz val="14"/>
        <color rgb="FFFF0000"/>
        <rFont val="Calibri"/>
        <family val="2"/>
        <scheme val="minor"/>
      </rPr>
      <t>*</t>
    </r>
  </si>
  <si>
    <r>
      <t>0.01</t>
    </r>
    <r>
      <rPr>
        <b/>
        <sz val="14"/>
        <color rgb="FFFF0000"/>
        <rFont val="Calibri"/>
        <family val="2"/>
        <scheme val="minor"/>
      </rPr>
      <t>**</t>
    </r>
  </si>
  <si>
    <r>
      <t>0.001</t>
    </r>
    <r>
      <rPr>
        <b/>
        <sz val="14"/>
        <color rgb="FFFF0000"/>
        <rFont val="Calibri"/>
        <family val="2"/>
        <scheme val="minor"/>
      </rPr>
      <t>***</t>
    </r>
  </si>
  <si>
    <t>ns</t>
  </si>
  <si>
    <t>df = 1</t>
  </si>
  <si>
    <t>z</t>
  </si>
  <si>
    <t>Confidence Level</t>
  </si>
  <si>
    <t>One-Tailed Test</t>
  </si>
  <si>
    <t>Two-Tailed Test</t>
  </si>
  <si>
    <r>
      <t>Critical Values of Student's</t>
    </r>
    <r>
      <rPr>
        <b/>
        <i/>
        <sz val="14"/>
        <color theme="1"/>
        <rFont val="Calibri"/>
        <family val="2"/>
        <scheme val="minor"/>
      </rPr>
      <t xml:space="preserve"> t</t>
    </r>
    <r>
      <rPr>
        <b/>
        <sz val="14"/>
        <color theme="1"/>
        <rFont val="Calibri"/>
        <family val="2"/>
        <scheme val="minor"/>
      </rPr>
      <t>-distribution, for One- &amp; Two-tailed tests</t>
    </r>
  </si>
  <si>
    <r>
      <t>Student's</t>
    </r>
    <r>
      <rPr>
        <b/>
        <i/>
        <sz val="16"/>
        <color theme="1"/>
        <rFont val="Calibri"/>
        <family val="2"/>
        <scheme val="minor"/>
      </rPr>
      <t xml:space="preserve"> t </t>
    </r>
    <r>
      <rPr>
        <b/>
        <sz val="16"/>
        <color theme="1"/>
        <rFont val="Calibri"/>
        <family val="2"/>
        <scheme val="minor"/>
      </rPr>
      <t xml:space="preserve">test, with equal or unequal sample sizes, or single observations </t>
    </r>
    <r>
      <rPr>
        <sz val="12"/>
        <color theme="1"/>
        <rFont val="Calibri"/>
        <family val="2"/>
        <scheme val="minor"/>
      </rPr>
      <t>(after Sokal &amp; Rohlf 1969)</t>
    </r>
  </si>
  <si>
    <r>
      <t xml:space="preserve">Consult table of </t>
    </r>
    <r>
      <rPr>
        <b/>
        <sz val="14"/>
        <color rgb="FF0070C0"/>
        <rFont val="Calibri"/>
        <family val="2"/>
        <scheme val="minor"/>
      </rPr>
      <t>Critical Values</t>
    </r>
  </si>
  <si>
    <t>Estimated^</t>
  </si>
  <si>
    <t>Estimated*</t>
  </si>
  <si>
    <r>
      <rPr>
        <sz val="14"/>
        <color rgb="FFFF6699"/>
        <rFont val="Calibri"/>
        <family val="2"/>
        <scheme val="minor"/>
      </rPr>
      <t>=</t>
    </r>
    <r>
      <rPr>
        <b/>
        <sz val="14"/>
        <color rgb="FFFF6699"/>
        <rFont val="Calibri"/>
        <family val="2"/>
        <scheme val="minor"/>
      </rPr>
      <t xml:space="preserve"> G</t>
    </r>
  </si>
  <si>
    <t>Williams' Correction for A B AB O</t>
  </si>
  <si>
    <r>
      <rPr>
        <b/>
        <i/>
        <sz val="14"/>
        <color theme="1"/>
        <rFont val="Calibri"/>
        <family val="2"/>
        <scheme val="minor"/>
      </rPr>
      <t>t'</t>
    </r>
    <r>
      <rPr>
        <b/>
        <sz val="14"/>
        <color theme="1"/>
        <rFont val="Calibri"/>
        <family val="2"/>
        <scheme val="minor"/>
      </rPr>
      <t xml:space="preserve"> = </t>
    </r>
  </si>
  <si>
    <r>
      <rPr>
        <b/>
        <sz val="16"/>
        <color rgb="FFFF0000"/>
        <rFont val="Calibri"/>
        <family val="2"/>
        <scheme val="minor"/>
      </rPr>
      <t>F</t>
    </r>
    <r>
      <rPr>
        <sz val="16"/>
        <color theme="1"/>
        <rFont val="Calibri"/>
        <family val="2"/>
        <scheme val="minor"/>
      </rPr>
      <t xml:space="preserve"> = </t>
    </r>
    <r>
      <rPr>
        <b/>
        <sz val="16"/>
        <color theme="1"/>
        <rFont val="Calibri"/>
        <family val="2"/>
        <scheme val="minor"/>
      </rPr>
      <t>Explained</t>
    </r>
    <r>
      <rPr>
        <sz val="16"/>
        <color theme="1"/>
        <rFont val="Calibri"/>
        <family val="2"/>
        <scheme val="minor"/>
      </rPr>
      <t xml:space="preserve"> MS (bx samples) / </t>
    </r>
    <r>
      <rPr>
        <b/>
        <sz val="16"/>
        <color theme="1"/>
        <rFont val="Calibri"/>
        <family val="2"/>
        <scheme val="minor"/>
      </rPr>
      <t>Error</t>
    </r>
    <r>
      <rPr>
        <sz val="16"/>
        <color theme="1"/>
        <rFont val="Calibri"/>
        <family val="2"/>
        <scheme val="minor"/>
      </rPr>
      <t xml:space="preserve"> MS (w/i samples)</t>
    </r>
  </si>
  <si>
    <r>
      <rPr>
        <b/>
        <sz val="16"/>
        <color indexed="8"/>
        <rFont val="Calibri"/>
        <family val="2"/>
      </rPr>
      <t xml:space="preserve">Chi-square calculations for a segregating site </t>
    </r>
    <r>
      <rPr>
        <sz val="16"/>
        <color indexed="8"/>
        <rFont val="Calibri"/>
        <family val="2"/>
      </rPr>
      <t xml:space="preserve">with 2, 3, or 4 </t>
    </r>
    <r>
      <rPr>
        <b/>
        <sz val="16"/>
        <color indexed="8"/>
        <rFont val="Calibri"/>
        <family val="2"/>
      </rPr>
      <t>SNP</t>
    </r>
    <r>
      <rPr>
        <sz val="16"/>
        <color indexed="8"/>
        <rFont val="Calibri"/>
        <family val="2"/>
      </rPr>
      <t xml:space="preserve"> variants (</t>
    </r>
    <r>
      <rPr>
        <b/>
        <sz val="16"/>
        <color indexed="8"/>
        <rFont val="Calibri"/>
        <family val="2"/>
      </rPr>
      <t>alleles</t>
    </r>
    <r>
      <rPr>
        <sz val="16"/>
        <color indexed="8"/>
        <rFont val="Calibri"/>
        <family val="2"/>
      </rPr>
      <t>).</t>
    </r>
  </si>
  <si>
    <r>
      <t xml:space="preserve">I) </t>
    </r>
    <r>
      <rPr>
        <sz val="16"/>
        <color indexed="8"/>
        <rFont val="Calibri"/>
        <family val="2"/>
      </rPr>
      <t xml:space="preserve">For diploid data sets with </t>
    </r>
    <r>
      <rPr>
        <b/>
        <sz val="16"/>
        <color indexed="8"/>
        <rFont val="Calibri"/>
        <family val="2"/>
      </rPr>
      <t>2</t>
    </r>
    <r>
      <rPr>
        <sz val="16"/>
        <color indexed="8"/>
        <rFont val="Calibri"/>
        <family val="2"/>
      </rPr>
      <t xml:space="preserve"> alleles</t>
    </r>
    <r>
      <rPr>
        <sz val="14"/>
        <color indexed="8"/>
        <rFont val="Calibri"/>
        <family val="2"/>
      </rPr>
      <t xml:space="preserve">, enter the observed </t>
    </r>
    <r>
      <rPr>
        <b/>
        <sz val="14"/>
        <color rgb="FF000000"/>
        <rFont val="Calibri"/>
        <family val="2"/>
      </rPr>
      <t>counts</t>
    </r>
    <r>
      <rPr>
        <sz val="14"/>
        <color indexed="8"/>
        <rFont val="Calibri"/>
        <family val="2"/>
      </rPr>
      <t xml:space="preserve"> of the two homozygote and one heterozygote classes, for the apropriate bases</t>
    </r>
  </si>
  <si>
    <t>The spreadsheet calculates:</t>
  </si>
  <si>
    <r>
      <t xml:space="preserve">The </t>
    </r>
    <r>
      <rPr>
        <i/>
        <sz val="14"/>
        <color indexed="8"/>
        <rFont val="Calibri"/>
        <family val="2"/>
      </rPr>
      <t>observed</t>
    </r>
    <r>
      <rPr>
        <sz val="14"/>
        <color indexed="8"/>
        <rFont val="Calibri"/>
        <family val="2"/>
      </rPr>
      <t xml:space="preserve"> genotype frequencies </t>
    </r>
    <r>
      <rPr>
        <b/>
        <sz val="14"/>
        <color indexed="8"/>
        <rFont val="Calibri"/>
        <family val="2"/>
      </rPr>
      <t>f(obs)</t>
    </r>
    <r>
      <rPr>
        <sz val="14"/>
        <color indexed="8"/>
        <rFont val="Calibri"/>
        <family val="2"/>
      </rPr>
      <t>, allele counts (2 for either homozygote, 1 for each heterozygote), and allele frequencies.</t>
    </r>
  </si>
  <si>
    <r>
      <t xml:space="preserve">The </t>
    </r>
    <r>
      <rPr>
        <i/>
        <sz val="14"/>
        <color indexed="8"/>
        <rFont val="Calibri"/>
        <family val="2"/>
      </rPr>
      <t>expected</t>
    </r>
    <r>
      <rPr>
        <sz val="14"/>
        <color indexed="8"/>
        <rFont val="Calibri"/>
        <family val="2"/>
      </rPr>
      <t xml:space="preserve"> genotype frequencies </t>
    </r>
    <r>
      <rPr>
        <b/>
        <sz val="14"/>
        <color indexed="8"/>
        <rFont val="Calibri"/>
        <family val="2"/>
      </rPr>
      <t>f(exp)</t>
    </r>
    <r>
      <rPr>
        <sz val="14"/>
        <color indexed="8"/>
        <rFont val="Calibri"/>
        <family val="2"/>
      </rPr>
      <t xml:space="preserve">, and the </t>
    </r>
    <r>
      <rPr>
        <i/>
        <sz val="14"/>
        <color indexed="8"/>
        <rFont val="Calibri"/>
        <family val="2"/>
      </rPr>
      <t>expected</t>
    </r>
    <r>
      <rPr>
        <sz val="14"/>
        <color indexed="8"/>
        <rFont val="Calibri"/>
        <family val="2"/>
      </rPr>
      <t xml:space="preserve"> genotype </t>
    </r>
    <r>
      <rPr>
        <i/>
        <sz val="14"/>
        <color rgb="FF000000"/>
        <rFont val="Calibri"/>
        <family val="2"/>
      </rPr>
      <t>counts</t>
    </r>
  </si>
  <si>
    <r>
      <t xml:space="preserve">The Chi-square value for each genotype as </t>
    </r>
    <r>
      <rPr>
        <b/>
        <sz val="14"/>
        <color indexed="8"/>
        <rFont val="Calibri"/>
        <family val="2"/>
      </rPr>
      <t>d^2/f(exp) =  (count(obs) - count(exp))^2 / count(exp)</t>
    </r>
  </si>
  <si>
    <r>
      <rPr>
        <b/>
        <sz val="14"/>
        <color theme="1"/>
        <rFont val="Calibri"/>
        <family val="2"/>
        <scheme val="minor"/>
      </rPr>
      <t>d = exp - obs</t>
    </r>
    <r>
      <rPr>
        <sz val="14"/>
        <color theme="1"/>
        <rFont val="Calibri"/>
        <family val="2"/>
        <scheme val="minor"/>
      </rPr>
      <t xml:space="preserve"> means a positive deviation is an excess, and a negative deviation a deficiency</t>
    </r>
  </si>
  <si>
    <t>The total Chi-square value is the sum of the individual terms</t>
  </si>
  <si>
    <r>
      <t>A</t>
    </r>
    <r>
      <rPr>
        <b/>
        <sz val="14"/>
        <color theme="1"/>
        <rFont val="Calibri"/>
        <family val="2"/>
        <scheme val="minor"/>
      </rPr>
      <t xml:space="preserve"> two-classification</t>
    </r>
    <r>
      <rPr>
        <sz val="14"/>
        <color theme="1"/>
        <rFont val="Calibri"/>
        <family val="2"/>
        <scheme val="minor"/>
      </rPr>
      <t xml:space="preserve"> Chi-square (df = 1) is </t>
    </r>
    <r>
      <rPr>
        <b/>
        <i/>
        <sz val="14"/>
        <color rgb="FFFF0000"/>
        <rFont val="Calibri"/>
        <family val="2"/>
        <scheme val="minor"/>
      </rPr>
      <t>significant</t>
    </r>
    <r>
      <rPr>
        <sz val="14"/>
        <color theme="1"/>
        <rFont val="Calibri"/>
        <family val="2"/>
        <scheme val="minor"/>
      </rPr>
      <t xml:space="preserve"> at </t>
    </r>
    <r>
      <rPr>
        <b/>
        <sz val="14"/>
        <color rgb="FFFF0000"/>
        <rFont val="Calibri"/>
        <family val="2"/>
        <scheme val="minor"/>
      </rPr>
      <t>p = 0.05</t>
    </r>
    <r>
      <rPr>
        <sz val="14"/>
        <color theme="1"/>
        <rFont val="Calibri"/>
        <family val="2"/>
        <scheme val="minor"/>
      </rPr>
      <t xml:space="preserve"> if the Chi-square value </t>
    </r>
    <r>
      <rPr>
        <i/>
        <sz val="14"/>
        <color theme="1"/>
        <rFont val="Calibri"/>
        <family val="2"/>
        <scheme val="minor"/>
      </rPr>
      <t>exceeds</t>
    </r>
    <r>
      <rPr>
        <sz val="14"/>
        <color theme="1"/>
        <rFont val="Calibri"/>
        <family val="2"/>
        <scheme val="minor"/>
      </rPr>
      <t xml:space="preserve"> the </t>
    </r>
    <r>
      <rPr>
        <b/>
        <sz val="14"/>
        <color rgb="FFFF0000"/>
        <rFont val="Calibri"/>
        <family val="2"/>
        <scheme val="minor"/>
      </rPr>
      <t>critical value</t>
    </r>
    <r>
      <rPr>
        <sz val="14"/>
        <color theme="1"/>
        <rFont val="Calibri"/>
        <family val="2"/>
        <scheme val="minor"/>
      </rPr>
      <t xml:space="preserve"> of </t>
    </r>
    <r>
      <rPr>
        <b/>
        <sz val="14"/>
        <color indexed="8"/>
        <rFont val="Calibri"/>
        <family val="2"/>
      </rPr>
      <t>3.841</t>
    </r>
  </si>
  <si>
    <t>Consult the table of critical values below for other confidence levels</t>
  </si>
  <si>
    <r>
      <t xml:space="preserve">The </t>
    </r>
    <r>
      <rPr>
        <b/>
        <sz val="14"/>
        <color indexed="8"/>
        <rFont val="Calibri"/>
        <family val="2"/>
      </rPr>
      <t>Inbreeding Coefficient F = ( H(obs) - H(exp)  ) / H(exp)</t>
    </r>
  </si>
  <si>
    <r>
      <t xml:space="preserve">II) </t>
    </r>
    <r>
      <rPr>
        <sz val="16"/>
        <color indexed="8"/>
        <rFont val="Calibri"/>
        <family val="2"/>
      </rPr>
      <t xml:space="preserve">For diploid data sets with </t>
    </r>
    <r>
      <rPr>
        <b/>
        <sz val="16"/>
        <color indexed="8"/>
        <rFont val="Calibri"/>
        <family val="2"/>
      </rPr>
      <t>3</t>
    </r>
    <r>
      <rPr>
        <sz val="16"/>
        <color indexed="8"/>
        <rFont val="Calibri"/>
        <family val="2"/>
      </rPr>
      <t xml:space="preserve"> or </t>
    </r>
    <r>
      <rPr>
        <b/>
        <sz val="16"/>
        <color indexed="8"/>
        <rFont val="Calibri"/>
        <family val="2"/>
      </rPr>
      <t>4</t>
    </r>
    <r>
      <rPr>
        <sz val="16"/>
        <color indexed="8"/>
        <rFont val="Calibri"/>
        <family val="2"/>
      </rPr>
      <t xml:space="preserve"> allelic variants</t>
    </r>
    <r>
      <rPr>
        <sz val="14"/>
        <color indexed="8"/>
        <rFont val="Calibri"/>
        <family val="2"/>
      </rPr>
      <t xml:space="preserve">, enter the observed counts for all </t>
    </r>
    <r>
      <rPr>
        <b/>
        <sz val="14"/>
        <color indexed="8"/>
        <rFont val="Calibri"/>
        <family val="2"/>
      </rPr>
      <t>6</t>
    </r>
    <r>
      <rPr>
        <sz val="14"/>
        <color indexed="8"/>
        <rFont val="Calibri"/>
        <family val="2"/>
      </rPr>
      <t xml:space="preserve"> or </t>
    </r>
    <r>
      <rPr>
        <b/>
        <sz val="14"/>
        <color indexed="8"/>
        <rFont val="Calibri"/>
        <family val="2"/>
      </rPr>
      <t>10</t>
    </r>
    <r>
      <rPr>
        <sz val="14"/>
        <color indexed="8"/>
        <rFont val="Calibri"/>
        <family val="2"/>
      </rPr>
      <t xml:space="preserve"> genotypes, respectively</t>
    </r>
  </si>
  <si>
    <t>Calculations are performed as above.</t>
  </si>
  <si>
    <r>
      <t xml:space="preserve">Chi-square test3 with </t>
    </r>
    <r>
      <rPr>
        <b/>
        <sz val="14"/>
        <color indexed="8"/>
        <rFont val="Calibri"/>
        <family val="2"/>
      </rPr>
      <t>three</t>
    </r>
    <r>
      <rPr>
        <sz val="14"/>
        <color indexed="8"/>
        <rFont val="Calibri"/>
        <family val="2"/>
      </rPr>
      <t xml:space="preserve"> and </t>
    </r>
    <r>
      <rPr>
        <b/>
        <sz val="14"/>
        <color indexed="8"/>
        <rFont val="Calibri"/>
        <family val="2"/>
      </rPr>
      <t>four</t>
    </r>
    <r>
      <rPr>
        <sz val="14"/>
        <color indexed="8"/>
        <rFont val="Calibri"/>
        <family val="2"/>
      </rPr>
      <t xml:space="preserve"> alleles have df = </t>
    </r>
    <r>
      <rPr>
        <b/>
        <sz val="14"/>
        <color indexed="8"/>
        <rFont val="Calibri"/>
        <family val="2"/>
      </rPr>
      <t>2</t>
    </r>
    <r>
      <rPr>
        <sz val="14"/>
        <color indexed="8"/>
        <rFont val="Calibri"/>
        <family val="2"/>
      </rPr>
      <t xml:space="preserve"> and </t>
    </r>
    <r>
      <rPr>
        <b/>
        <sz val="14"/>
        <color indexed="8"/>
        <rFont val="Calibri"/>
        <family val="2"/>
      </rPr>
      <t>3</t>
    </r>
    <r>
      <rPr>
        <sz val="14"/>
        <color indexed="8"/>
        <rFont val="Calibri"/>
        <family val="2"/>
      </rPr>
      <t>, respectively.</t>
    </r>
  </si>
  <si>
    <t>Critical values of Chi-Square</t>
  </si>
  <si>
    <t>P of exceeding c.v.</t>
  </si>
  <si>
    <r>
      <t xml:space="preserve">III) Chi-square tests </t>
    </r>
    <r>
      <rPr>
        <b/>
        <i/>
        <sz val="16"/>
        <color rgb="FFFF0000"/>
        <rFont val="Calibri"/>
        <family val="2"/>
        <scheme val="minor"/>
      </rPr>
      <t>must</t>
    </r>
    <r>
      <rPr>
        <b/>
        <sz val="16"/>
        <color rgb="FFFF0000"/>
        <rFont val="Calibri"/>
        <family val="2"/>
        <scheme val="minor"/>
      </rPr>
      <t xml:space="preserve"> be done with Counts, </t>
    </r>
    <r>
      <rPr>
        <b/>
        <i/>
        <sz val="16"/>
        <color rgb="FFFF0000"/>
        <rFont val="Calibri"/>
        <family val="2"/>
        <scheme val="minor"/>
      </rPr>
      <t>not</t>
    </r>
    <r>
      <rPr>
        <b/>
        <sz val="16"/>
        <color rgb="FFFF0000"/>
        <rFont val="Calibri"/>
        <family val="2"/>
        <scheme val="minor"/>
      </rPr>
      <t xml:space="preserve"> frequencies</t>
    </r>
  </si>
  <si>
    <r>
      <t xml:space="preserve">IV) </t>
    </r>
    <r>
      <rPr>
        <b/>
        <i/>
        <sz val="16"/>
        <color theme="1"/>
        <rFont val="Calibri"/>
        <family val="2"/>
        <scheme val="minor"/>
      </rPr>
      <t>Expected</t>
    </r>
    <r>
      <rPr>
        <b/>
        <sz val="16"/>
        <color theme="1"/>
        <rFont val="Calibri"/>
        <family val="2"/>
        <scheme val="minor"/>
      </rPr>
      <t xml:space="preserve"> Counts</t>
    </r>
    <r>
      <rPr>
        <sz val="16"/>
        <color theme="1"/>
        <rFont val="Calibri"/>
        <family val="2"/>
        <scheme val="minor"/>
      </rPr>
      <t xml:space="preserve"> must be rounded to the nearest integer</t>
    </r>
  </si>
  <si>
    <t>Inuit (G'land)</t>
  </si>
  <si>
    <t>Sample Data</t>
  </si>
  <si>
    <r>
      <t xml:space="preserve">RXC Test of Independence with the G-test, including William's Correction </t>
    </r>
    <r>
      <rPr>
        <sz val="12"/>
        <color theme="1"/>
        <rFont val="Calibri"/>
        <family val="2"/>
        <scheme val="minor"/>
      </rPr>
      <t>(after Sokal &amp; Rohlf 2012, pp 753-754)</t>
    </r>
  </si>
  <si>
    <t xml:space="preserve"> </t>
  </si>
  <si>
    <r>
      <t xml:space="preserve">Estimation of A B O frequencies from A B AB O data, Likelihood </t>
    </r>
    <r>
      <rPr>
        <sz val="12"/>
        <color theme="1"/>
        <rFont val="Calibri"/>
        <family val="2"/>
        <scheme val="minor"/>
      </rPr>
      <t>method of Cavalli-Sforza &amp; Bodmer (1971), with Williams Correction</t>
    </r>
  </si>
  <si>
    <r>
      <t xml:space="preserve">V) Use a consistent number of </t>
    </r>
    <r>
      <rPr>
        <b/>
        <sz val="16"/>
        <color theme="1"/>
        <rFont val="Calibri"/>
        <family val="2"/>
        <scheme val="minor"/>
      </rPr>
      <t>significant figures</t>
    </r>
    <r>
      <rPr>
        <sz val="16"/>
        <color theme="1"/>
        <rFont val="Calibri"/>
        <family val="2"/>
        <scheme val="minor"/>
      </rPr>
      <t>; adjust displayed numbers as appropriate</t>
    </r>
  </si>
  <si>
    <t>Romani (Hungary)</t>
  </si>
  <si>
    <t>Aboriginal Australians</t>
  </si>
  <si>
    <t>Chinese (Canton)</t>
  </si>
  <si>
    <t>Chinese (Ningbo)</t>
  </si>
  <si>
    <t>Chinese (Yangzhou)</t>
  </si>
  <si>
    <t>Chinese (Peking)</t>
  </si>
  <si>
    <t>Count out of 1,000</t>
  </si>
  <si>
    <t>obs</t>
  </si>
  <si>
    <t>exp</t>
  </si>
  <si>
    <t>d=o-e</t>
  </si>
  <si>
    <t>d^2/e</t>
  </si>
  <si>
    <t>E</t>
  </si>
  <si>
    <t>H</t>
  </si>
  <si>
    <t>Pygmy (CAR) from Cavalli-Sforz &amp; Bodmer</t>
  </si>
  <si>
    <t>observed</t>
  </si>
  <si>
    <t>estimated</t>
  </si>
  <si>
    <t>Pairwise test of independence for ABO data, by the G-test</t>
  </si>
  <si>
    <t xml:space="preserve">(after Sokal &amp; Rohlf 2012, pp 753-754: </t>
  </si>
  <si>
    <r>
      <rPr>
        <sz val="12"/>
        <color theme="1"/>
        <rFont val="Calibri"/>
        <family val="2"/>
        <scheme val="minor"/>
      </rPr>
      <t xml:space="preserve">The </t>
    </r>
    <r>
      <rPr>
        <b/>
        <sz val="12"/>
        <color theme="1"/>
        <rFont val="Calibri"/>
        <family val="2"/>
        <scheme val="minor"/>
      </rPr>
      <t>G-test</t>
    </r>
    <r>
      <rPr>
        <sz val="12"/>
        <color theme="1"/>
        <rFont val="Calibri"/>
        <family val="2"/>
        <scheme val="minor"/>
      </rPr>
      <t xml:space="preserve"> transforms cell values 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 xml:space="preserve"> 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)(</t>
    </r>
    <r>
      <rPr>
        <i/>
        <sz val="12"/>
        <color theme="1"/>
        <rFont val="Calibri"/>
        <family val="2"/>
        <scheme val="minor"/>
      </rPr>
      <t>ln(</t>
    </r>
    <r>
      <rPr>
        <b/>
        <i/>
        <sz val="12"/>
        <color theme="1"/>
        <rFont val="Calibri"/>
        <family val="2"/>
        <scheme val="minor"/>
      </rPr>
      <t>X</t>
    </r>
    <r>
      <rPr>
        <i/>
        <sz val="12"/>
        <color theme="1"/>
        <rFont val="Calibri"/>
        <family val="2"/>
        <scheme val="minor"/>
      </rPr>
      <t>)</t>
    </r>
    <r>
      <rPr>
        <sz val="12"/>
        <color theme="1"/>
        <rFont val="Calibri"/>
        <family val="2"/>
        <scheme val="minor"/>
      </rPr>
      <t>)</t>
    </r>
    <r>
      <rPr>
        <b/>
        <sz val="12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>then performs a Row x Column (</t>
    </r>
    <r>
      <rPr>
        <b/>
        <sz val="12"/>
        <color theme="1"/>
        <rFont val="Calibri"/>
        <family val="2"/>
        <scheme val="minor"/>
      </rPr>
      <t>RxC) test of independence</t>
    </r>
    <r>
      <rPr>
        <sz val="12"/>
        <color theme="1"/>
        <rFont val="Calibri"/>
        <family val="2"/>
        <scheme val="minor"/>
      </rPr>
      <t xml:space="preserve"> on the transforms</t>
    </r>
  </si>
  <si>
    <r>
      <t xml:space="preserve">The </t>
    </r>
    <r>
      <rPr>
        <b/>
        <sz val="12"/>
        <color theme="1"/>
        <rFont val="Calibri"/>
        <family val="2"/>
        <scheme val="minor"/>
      </rPr>
      <t>RxC</t>
    </r>
    <r>
      <rPr>
        <sz val="12"/>
        <color theme="1"/>
        <rFont val="Calibri"/>
        <family val="2"/>
        <scheme val="minor"/>
      </rPr>
      <t xml:space="preserve"> test here is </t>
    </r>
    <r>
      <rPr>
        <i/>
        <sz val="12"/>
        <color theme="1"/>
        <rFont val="Calibri"/>
        <family val="2"/>
        <scheme val="minor"/>
      </rPr>
      <t>four</t>
    </r>
    <r>
      <rPr>
        <sz val="12"/>
        <color theme="1"/>
        <rFont val="Calibri"/>
        <family val="2"/>
        <scheme val="minor"/>
      </rPr>
      <t xml:space="preserve"> blood types in </t>
    </r>
    <r>
      <rPr>
        <i/>
        <sz val="12"/>
        <color theme="1"/>
        <rFont val="Calibri"/>
        <family val="2"/>
        <scheme val="minor"/>
      </rPr>
      <t>two</t>
    </r>
    <r>
      <rPr>
        <sz val="12"/>
        <color theme="1"/>
        <rFont val="Calibri"/>
        <family val="2"/>
        <scheme val="minor"/>
      </rPr>
      <t xml:space="preserve"> populations</t>
    </r>
  </si>
  <si>
    <r>
      <rPr>
        <sz val="12"/>
        <color theme="1"/>
        <rFont val="Calibri"/>
        <family val="2"/>
        <scheme val="minor"/>
      </rPr>
      <t>Given the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Observed</t>
    </r>
    <r>
      <rPr>
        <b/>
        <sz val="12"/>
        <color theme="1"/>
        <rFont val="Calibri"/>
        <family val="2"/>
        <scheme val="minor"/>
      </rPr>
      <t xml:space="preserve"> data, </t>
    </r>
  </si>
  <si>
    <r>
      <rPr>
        <i/>
        <sz val="12"/>
        <color theme="1"/>
        <rFont val="Calibri"/>
        <family val="2"/>
        <scheme val="minor"/>
      </rPr>
      <t>Expected^</t>
    </r>
    <r>
      <rPr>
        <sz val="12"/>
        <color theme="1"/>
        <rFont val="Calibri"/>
        <family val="2"/>
        <scheme val="minor"/>
      </rPr>
      <t xml:space="preserve"> data for </t>
    </r>
    <r>
      <rPr>
        <b/>
        <sz val="12"/>
        <color theme="1"/>
        <rFont val="Calibri"/>
        <family val="2"/>
        <scheme val="minor"/>
      </rPr>
      <t>A B AB O</t>
    </r>
    <r>
      <rPr>
        <sz val="12"/>
        <color theme="1"/>
        <rFont val="Calibri"/>
        <family val="2"/>
        <scheme val="minor"/>
      </rPr>
      <t xml:space="preserve"> are calculated from </t>
    </r>
  </si>
  <si>
    <r>
      <t xml:space="preserve">the </t>
    </r>
    <r>
      <rPr>
        <b/>
        <i/>
        <sz val="12"/>
        <color theme="1"/>
        <rFont val="Calibri"/>
        <family val="2"/>
        <scheme val="minor"/>
      </rPr>
      <t>likelihood estimates^</t>
    </r>
    <r>
      <rPr>
        <sz val="12"/>
        <color theme="1"/>
        <rFont val="Calibri"/>
        <family val="2"/>
        <scheme val="minor"/>
      </rPr>
      <t xml:space="preserve"> of </t>
    </r>
    <r>
      <rPr>
        <b/>
        <sz val="12"/>
        <color theme="1"/>
        <rFont val="Calibri"/>
        <family val="2"/>
        <scheme val="minor"/>
      </rPr>
      <t>A B  O</t>
    </r>
  </si>
  <si>
    <r>
      <t xml:space="preserve">(Note: Row data have to be transposed to column data to fit in </t>
    </r>
    <r>
      <rPr>
        <b/>
        <sz val="12"/>
        <color theme="1"/>
        <rFont val="Calibri"/>
        <family val="2"/>
        <scheme val="minor"/>
      </rPr>
      <t>B9:C12</t>
    </r>
    <r>
      <rPr>
        <sz val="12"/>
        <color theme="1"/>
        <rFont val="Calibri"/>
        <family val="2"/>
        <scheme val="minor"/>
      </rPr>
      <t xml:space="preserve"> block</t>
    </r>
  </si>
  <si>
    <r>
      <t>p(</t>
    </r>
    <r>
      <rPr>
        <b/>
        <sz val="16"/>
        <color theme="1"/>
        <rFont val="Calibri"/>
        <family val="2"/>
        <scheme val="minor"/>
      </rPr>
      <t>A</t>
    </r>
    <r>
      <rPr>
        <sz val="16"/>
        <color theme="1"/>
        <rFont val="Calibri"/>
        <family val="2"/>
        <scheme val="minor"/>
      </rPr>
      <t>|</t>
    </r>
    <r>
      <rPr>
        <b/>
        <sz val="16"/>
        <color theme="1"/>
        <rFont val="Calibri"/>
        <family val="2"/>
        <scheme val="minor"/>
      </rPr>
      <t>B</t>
    </r>
    <r>
      <rPr>
        <sz val="16"/>
        <color theme="1"/>
        <rFont val="Calibri"/>
        <family val="2"/>
        <scheme val="minor"/>
      </rPr>
      <t>) = [p(</t>
    </r>
    <r>
      <rPr>
        <b/>
        <sz val="16"/>
        <color theme="1"/>
        <rFont val="Calibri"/>
        <family val="2"/>
        <scheme val="minor"/>
      </rPr>
      <t>B</t>
    </r>
    <r>
      <rPr>
        <sz val="16"/>
        <color theme="1"/>
        <rFont val="Calibri"/>
        <family val="2"/>
        <scheme val="minor"/>
      </rPr>
      <t>|</t>
    </r>
    <r>
      <rPr>
        <b/>
        <sz val="16"/>
        <color theme="1"/>
        <rFont val="Calibri"/>
        <family val="2"/>
        <scheme val="minor"/>
      </rPr>
      <t>A</t>
    </r>
    <r>
      <rPr>
        <sz val="16"/>
        <color theme="1"/>
        <rFont val="Calibri"/>
        <family val="2"/>
        <scheme val="minor"/>
      </rPr>
      <t>) x p(</t>
    </r>
    <r>
      <rPr>
        <b/>
        <sz val="16"/>
        <color theme="1"/>
        <rFont val="Calibri"/>
        <family val="2"/>
        <scheme val="minor"/>
      </rPr>
      <t>A</t>
    </r>
    <r>
      <rPr>
        <sz val="16"/>
        <color theme="1"/>
        <rFont val="Calibri"/>
        <family val="2"/>
        <scheme val="minor"/>
      </rPr>
      <t>)] / p(</t>
    </r>
    <r>
      <rPr>
        <b/>
        <sz val="16"/>
        <color theme="1"/>
        <rFont val="Calibri"/>
        <family val="2"/>
        <scheme val="minor"/>
      </rPr>
      <t>B</t>
    </r>
    <r>
      <rPr>
        <sz val="16"/>
        <color theme="1"/>
        <rFont val="Calibri"/>
        <family val="2"/>
        <scheme val="minor"/>
      </rPr>
      <t>)</t>
    </r>
  </si>
  <si>
    <t>p(A|B) =</t>
  </si>
  <si>
    <t>[p(B|A)</t>
  </si>
  <si>
    <t>x     p(A)]</t>
  </si>
  <si>
    <t>/  p(B)</t>
  </si>
  <si>
    <t>Sensitivity</t>
  </si>
  <si>
    <t>Specificity</t>
  </si>
  <si>
    <t>Incidence</t>
  </si>
  <si>
    <t>p(User|+)</t>
  </si>
  <si>
    <t>p(+|User)</t>
  </si>
  <si>
    <t>p(User)</t>
  </si>
  <si>
    <t>p(+)</t>
  </si>
  <si>
    <t>© 2020 by Steven M Carr: Not to be reproduced or redistributed without written permission, scarr [at] mun.ca</t>
  </si>
  <si>
    <t xml:space="preserve">Bayes Formula: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</si>
</sst>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6699"/>
      <name val="Calibri"/>
      <family val="2"/>
      <scheme val="minor"/>
    </font>
    <font>
      <sz val="14"/>
      <color rgb="FFFF6699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4"/>
      <color rgb="FF000000"/>
      <name val="Calibri"/>
      <family val="2"/>
    </font>
    <font>
      <i/>
      <sz val="14"/>
      <color indexed="8"/>
      <name val="Calibri"/>
      <family val="2"/>
    </font>
    <font>
      <i/>
      <sz val="14"/>
      <color rgb="FF000000"/>
      <name val="Calibri"/>
      <family val="2"/>
    </font>
    <font>
      <b/>
      <i/>
      <sz val="16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DDC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0" fontId="19" fillId="0" borderId="0"/>
  </cellStyleXfs>
  <cellXfs count="43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8" xfId="0" applyFont="1" applyBorder="1"/>
    <xf numFmtId="0" fontId="3" fillId="0" borderId="9" xfId="0" applyFont="1" applyBorder="1"/>
    <xf numFmtId="0" fontId="3" fillId="0" borderId="8" xfId="0" applyFont="1" applyBorder="1"/>
    <xf numFmtId="164" fontId="3" fillId="0" borderId="10" xfId="0" applyNumberFormat="1" applyFont="1" applyBorder="1"/>
    <xf numFmtId="0" fontId="2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164" fontId="3" fillId="0" borderId="0" xfId="0" applyNumberFormat="1" applyFont="1"/>
    <xf numFmtId="164" fontId="3" fillId="0" borderId="12" xfId="0" applyNumberFormat="1" applyFont="1" applyBorder="1"/>
    <xf numFmtId="0" fontId="2" fillId="0" borderId="13" xfId="0" applyFont="1" applyBorder="1"/>
    <xf numFmtId="0" fontId="3" fillId="0" borderId="14" xfId="0" applyFont="1" applyBorder="1"/>
    <xf numFmtId="0" fontId="3" fillId="0" borderId="13" xfId="0" applyFont="1" applyBorder="1"/>
    <xf numFmtId="164" fontId="3" fillId="0" borderId="15" xfId="0" applyNumberFormat="1" applyFont="1" applyBorder="1"/>
    <xf numFmtId="164" fontId="3" fillId="0" borderId="14" xfId="0" applyNumberFormat="1" applyFont="1" applyBorder="1"/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right"/>
    </xf>
    <xf numFmtId="0" fontId="4" fillId="0" borderId="0" xfId="0" applyFont="1"/>
    <xf numFmtId="165" fontId="4" fillId="0" borderId="0" xfId="0" applyNumberFormat="1" applyFont="1"/>
    <xf numFmtId="0" fontId="3" fillId="0" borderId="0" xfId="0" applyFont="1" applyAlignment="1"/>
    <xf numFmtId="165" fontId="8" fillId="0" borderId="0" xfId="0" applyNumberFormat="1" applyFont="1"/>
    <xf numFmtId="0" fontId="8" fillId="0" borderId="5" xfId="0" applyFont="1" applyBorder="1"/>
    <xf numFmtId="0" fontId="8" fillId="0" borderId="6" xfId="0" applyFont="1" applyBorder="1"/>
    <xf numFmtId="0" fontId="8" fillId="0" borderId="0" xfId="0" applyFont="1"/>
    <xf numFmtId="0" fontId="8" fillId="0" borderId="0" xfId="0" applyFont="1" applyBorder="1"/>
    <xf numFmtId="166" fontId="8" fillId="0" borderId="0" xfId="0" applyNumberFormat="1" applyFont="1"/>
    <xf numFmtId="0" fontId="2" fillId="4" borderId="0" xfId="0" applyFont="1" applyFill="1"/>
    <xf numFmtId="0" fontId="8" fillId="0" borderId="0" xfId="0" quotePrefix="1" applyFont="1"/>
    <xf numFmtId="0" fontId="1" fillId="0" borderId="0" xfId="0" applyFont="1" applyFill="1" applyAlignment="1">
      <alignment horizontal="center" vertical="center"/>
    </xf>
    <xf numFmtId="2" fontId="8" fillId="0" borderId="0" xfId="0" applyNumberFormat="1" applyFont="1"/>
    <xf numFmtId="0" fontId="7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6" fontId="12" fillId="0" borderId="0" xfId="0" applyNumberFormat="1" applyFont="1"/>
    <xf numFmtId="2" fontId="0" fillId="0" borderId="0" xfId="0" applyNumberFormat="1"/>
    <xf numFmtId="167" fontId="8" fillId="0" borderId="0" xfId="0" applyNumberFormat="1" applyFont="1" applyBorder="1"/>
    <xf numFmtId="0" fontId="4" fillId="3" borderId="7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right"/>
    </xf>
    <xf numFmtId="0" fontId="4" fillId="3" borderId="2" xfId="0" quotePrefix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65" fontId="14" fillId="0" borderId="0" xfId="0" applyNumberFormat="1" applyFont="1"/>
    <xf numFmtId="0" fontId="3" fillId="4" borderId="0" xfId="0" applyFont="1" applyFill="1"/>
    <xf numFmtId="0" fontId="13" fillId="0" borderId="0" xfId="0" applyFont="1"/>
    <xf numFmtId="0" fontId="1" fillId="0" borderId="0" xfId="0" applyFont="1"/>
    <xf numFmtId="0" fontId="2" fillId="4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66" fontId="2" fillId="5" borderId="0" xfId="0" applyNumberFormat="1" applyFont="1" applyFill="1" applyAlignment="1">
      <alignment horizontal="right"/>
    </xf>
    <xf numFmtId="166" fontId="2" fillId="5" borderId="0" xfId="0" applyNumberFormat="1" applyFont="1" applyFill="1" applyAlignment="1">
      <alignment horizontal="right" vertical="center" wrapText="1"/>
    </xf>
    <xf numFmtId="166" fontId="2" fillId="7" borderId="0" xfId="0" applyNumberFormat="1" applyFont="1" applyFill="1" applyAlignment="1">
      <alignment horizontal="right"/>
    </xf>
    <xf numFmtId="166" fontId="2" fillId="7" borderId="0" xfId="0" applyNumberFormat="1" applyFont="1" applyFill="1" applyAlignment="1">
      <alignment horizontal="right" vertical="center" wrapText="1"/>
    </xf>
    <xf numFmtId="166" fontId="2" fillId="8" borderId="0" xfId="0" applyNumberFormat="1" applyFont="1" applyFill="1" applyAlignment="1">
      <alignment horizontal="right"/>
    </xf>
    <xf numFmtId="166" fontId="2" fillId="8" borderId="0" xfId="0" applyNumberFormat="1" applyFont="1" applyFill="1" applyAlignment="1">
      <alignment horizontal="right" vertical="center" wrapText="1"/>
    </xf>
    <xf numFmtId="2" fontId="17" fillId="0" borderId="0" xfId="0" applyNumberFormat="1" applyFont="1"/>
    <xf numFmtId="0" fontId="1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3" borderId="16" xfId="0" applyFont="1" applyFill="1" applyBorder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vertical="center" wrapText="1"/>
    </xf>
    <xf numFmtId="2" fontId="8" fillId="3" borderId="0" xfId="0" applyNumberFormat="1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165" fontId="8" fillId="0" borderId="12" xfId="0" applyNumberFormat="1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15" xfId="0" applyFont="1" applyBorder="1"/>
    <xf numFmtId="0" fontId="8" fillId="0" borderId="9" xfId="0" applyFont="1" applyBorder="1"/>
    <xf numFmtId="0" fontId="8" fillId="0" borderId="12" xfId="0" applyFont="1" applyBorder="1"/>
    <xf numFmtId="0" fontId="4" fillId="0" borderId="11" xfId="0" applyFont="1" applyBorder="1"/>
    <xf numFmtId="166" fontId="8" fillId="0" borderId="0" xfId="0" applyNumberFormat="1" applyFont="1" applyBorder="1"/>
    <xf numFmtId="166" fontId="8" fillId="0" borderId="12" xfId="0" applyNumberFormat="1" applyFont="1" applyBorder="1"/>
    <xf numFmtId="165" fontId="4" fillId="0" borderId="0" xfId="0" applyNumberFormat="1" applyFont="1" applyBorder="1"/>
    <xf numFmtId="0" fontId="0" fillId="0" borderId="12" xfId="0" applyBorder="1"/>
    <xf numFmtId="0" fontId="5" fillId="0" borderId="13" xfId="0" applyFont="1" applyBorder="1" applyAlignment="1">
      <alignment horizontal="right"/>
    </xf>
    <xf numFmtId="0" fontId="4" fillId="0" borderId="15" xfId="0" applyFont="1" applyBorder="1"/>
    <xf numFmtId="0" fontId="0" fillId="0" borderId="14" xfId="0" applyBorder="1"/>
    <xf numFmtId="0" fontId="0" fillId="0" borderId="11" xfId="0" applyBorder="1"/>
    <xf numFmtId="0" fontId="0" fillId="0" borderId="0" xfId="0" applyBorder="1"/>
    <xf numFmtId="0" fontId="7" fillId="0" borderId="13" xfId="0" applyFont="1" applyBorder="1" applyAlignment="1">
      <alignment horizontal="right"/>
    </xf>
    <xf numFmtId="0" fontId="8" fillId="3" borderId="12" xfId="0" applyFont="1" applyFill="1" applyBorder="1"/>
    <xf numFmtId="165" fontId="8" fillId="0" borderId="0" xfId="0" applyNumberFormat="1" applyFont="1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8" fillId="0" borderId="14" xfId="0" applyFont="1" applyBorder="1"/>
    <xf numFmtId="0" fontId="8" fillId="0" borderId="10" xfId="0" applyFont="1" applyBorder="1"/>
    <xf numFmtId="2" fontId="12" fillId="0" borderId="0" xfId="0" applyNumberFormat="1" applyFont="1"/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/>
    <xf numFmtId="166" fontId="3" fillId="10" borderId="8" xfId="0" applyNumberFormat="1" applyFont="1" applyFill="1" applyBorder="1"/>
    <xf numFmtId="166" fontId="3" fillId="10" borderId="10" xfId="0" applyNumberFormat="1" applyFont="1" applyFill="1" applyBorder="1"/>
    <xf numFmtId="166" fontId="3" fillId="10" borderId="9" xfId="0" applyNumberFormat="1" applyFont="1" applyFill="1" applyBorder="1"/>
    <xf numFmtId="0" fontId="2" fillId="0" borderId="18" xfId="0" applyFont="1" applyBorder="1"/>
    <xf numFmtId="166" fontId="3" fillId="10" borderId="11" xfId="0" applyNumberFormat="1" applyFont="1" applyFill="1" applyBorder="1"/>
    <xf numFmtId="166" fontId="3" fillId="10" borderId="0" xfId="0" applyNumberFormat="1" applyFont="1" applyFill="1"/>
    <xf numFmtId="166" fontId="3" fillId="10" borderId="12" xfId="0" applyNumberFormat="1" applyFont="1" applyFill="1" applyBorder="1"/>
    <xf numFmtId="0" fontId="2" fillId="0" borderId="19" xfId="0" applyFont="1" applyBorder="1"/>
    <xf numFmtId="166" fontId="3" fillId="10" borderId="13" xfId="0" applyNumberFormat="1" applyFont="1" applyFill="1" applyBorder="1"/>
    <xf numFmtId="166" fontId="3" fillId="10" borderId="15" xfId="0" applyNumberFormat="1" applyFont="1" applyFill="1" applyBorder="1"/>
    <xf numFmtId="166" fontId="3" fillId="10" borderId="14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2" fontId="8" fillId="0" borderId="15" xfId="0" applyNumberFormat="1" applyFont="1" applyBorder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" fontId="8" fillId="0" borderId="0" xfId="0" applyNumberFormat="1" applyFont="1"/>
    <xf numFmtId="16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21" fillId="0" borderId="0" xfId="0" applyNumberFormat="1" applyFont="1"/>
    <xf numFmtId="1" fontId="22" fillId="0" borderId="0" xfId="0" applyNumberFormat="1" applyFont="1"/>
    <xf numFmtId="0" fontId="22" fillId="0" borderId="0" xfId="0" applyFont="1" applyAlignment="1">
      <alignment horizontal="right"/>
    </xf>
    <xf numFmtId="166" fontId="21" fillId="0" borderId="0" xfId="0" applyNumberFormat="1" applyFont="1" applyAlignment="1">
      <alignment horizontal="right"/>
    </xf>
    <xf numFmtId="1" fontId="22" fillId="0" borderId="0" xfId="0" applyNumberFormat="1" applyFont="1" applyAlignment="1">
      <alignment horizontal="right"/>
    </xf>
    <xf numFmtId="0" fontId="22" fillId="0" borderId="0" xfId="0" applyFont="1"/>
    <xf numFmtId="16" fontId="8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1" fontId="3" fillId="0" borderId="0" xfId="0" applyNumberFormat="1" applyFont="1"/>
    <xf numFmtId="166" fontId="3" fillId="0" borderId="0" xfId="0" applyNumberFormat="1" applyFont="1"/>
    <xf numFmtId="1" fontId="25" fillId="0" borderId="0" xfId="0" applyNumberFormat="1" applyFont="1"/>
    <xf numFmtId="0" fontId="26" fillId="0" borderId="0" xfId="0" applyFont="1" applyAlignment="1">
      <alignment horizontal="right"/>
    </xf>
    <xf numFmtId="1" fontId="25" fillId="0" borderId="0" xfId="0" applyNumberFormat="1" applyFont="1" applyAlignment="1">
      <alignment horizontal="right"/>
    </xf>
    <xf numFmtId="1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166" fontId="28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166" fontId="30" fillId="0" borderId="0" xfId="0" applyNumberFormat="1" applyFont="1"/>
    <xf numFmtId="166" fontId="31" fillId="0" borderId="0" xfId="0" applyNumberFormat="1" applyFont="1"/>
    <xf numFmtId="0" fontId="31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/>
    <xf numFmtId="166" fontId="32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66" fontId="34" fillId="0" borderId="0" xfId="0" quotePrefix="1" applyNumberFormat="1" applyFont="1" applyAlignment="1">
      <alignment horizontal="right"/>
    </xf>
    <xf numFmtId="1" fontId="34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166" fontId="35" fillId="0" borderId="0" xfId="0" applyNumberFormat="1" applyFont="1" applyAlignment="1">
      <alignment horizontal="right"/>
    </xf>
    <xf numFmtId="166" fontId="35" fillId="0" borderId="0" xfId="0" quotePrefix="1" applyNumberFormat="1" applyFont="1" applyAlignment="1">
      <alignment horizontal="left"/>
    </xf>
    <xf numFmtId="166" fontId="5" fillId="0" borderId="0" xfId="0" quotePrefix="1" applyNumberFormat="1" applyFont="1" applyAlignment="1">
      <alignment horizontal="center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6" fontId="35" fillId="0" borderId="15" xfId="0" applyNumberFormat="1" applyFont="1" applyBorder="1"/>
    <xf numFmtId="0" fontId="34" fillId="0" borderId="13" xfId="0" applyFont="1" applyBorder="1" applyAlignment="1">
      <alignment horizontal="center"/>
    </xf>
    <xf numFmtId="0" fontId="27" fillId="0" borderId="0" xfId="0" applyFont="1" applyAlignment="1">
      <alignment horizontal="right"/>
    </xf>
    <xf numFmtId="166" fontId="27" fillId="0" borderId="14" xfId="0" applyNumberFormat="1" applyFont="1" applyBorder="1" applyAlignment="1">
      <alignment horizontal="right"/>
    </xf>
    <xf numFmtId="1" fontId="21" fillId="0" borderId="15" xfId="0" applyNumberFormat="1" applyFont="1" applyBorder="1" applyAlignment="1">
      <alignment horizontal="right"/>
    </xf>
    <xf numFmtId="0" fontId="29" fillId="0" borderId="13" xfId="0" applyFont="1" applyBorder="1" applyAlignment="1">
      <alignment horizontal="center"/>
    </xf>
    <xf numFmtId="166" fontId="35" fillId="0" borderId="0" xfId="0" applyNumberFormat="1" applyFont="1"/>
    <xf numFmtId="0" fontId="34" fillId="0" borderId="11" xfId="0" applyFont="1" applyBorder="1" applyAlignment="1">
      <alignment horizontal="center"/>
    </xf>
    <xf numFmtId="166" fontId="27" fillId="0" borderId="12" xfId="0" applyNumberFormat="1" applyFont="1" applyBorder="1" applyAlignment="1">
      <alignment horizontal="right"/>
    </xf>
    <xf numFmtId="0" fontId="29" fillId="0" borderId="11" xfId="0" applyFont="1" applyBorder="1" applyAlignment="1">
      <alignment horizontal="center"/>
    </xf>
    <xf numFmtId="166" fontId="27" fillId="0" borderId="15" xfId="0" applyNumberFormat="1" applyFont="1" applyBorder="1" applyAlignment="1">
      <alignment horizontal="right"/>
    </xf>
    <xf numFmtId="0" fontId="27" fillId="0" borderId="15" xfId="0" applyFont="1" applyBorder="1" applyAlignment="1">
      <alignment horizontal="right"/>
    </xf>
    <xf numFmtId="166" fontId="27" fillId="0" borderId="0" xfId="0" applyNumberFormat="1" applyFont="1" applyAlignment="1">
      <alignment horizontal="right"/>
    </xf>
    <xf numFmtId="166" fontId="35" fillId="0" borderId="10" xfId="0" applyNumberFormat="1" applyFont="1" applyBorder="1"/>
    <xf numFmtId="0" fontId="34" fillId="0" borderId="8" xfId="0" applyFont="1" applyBorder="1" applyAlignment="1">
      <alignment horizontal="center"/>
    </xf>
    <xf numFmtId="166" fontId="27" fillId="0" borderId="10" xfId="0" applyNumberFormat="1" applyFont="1" applyBorder="1" applyAlignment="1">
      <alignment horizontal="right"/>
    </xf>
    <xf numFmtId="0" fontId="27" fillId="0" borderId="10" xfId="0" applyFont="1" applyBorder="1" applyAlignment="1">
      <alignment horizontal="right"/>
    </xf>
    <xf numFmtId="0" fontId="29" fillId="0" borderId="8" xfId="0" applyFont="1" applyBorder="1" applyAlignment="1">
      <alignment horizontal="center"/>
    </xf>
    <xf numFmtId="166" fontId="27" fillId="0" borderId="9" xfId="0" applyNumberFormat="1" applyFont="1" applyBorder="1" applyAlignment="1">
      <alignment horizontal="right"/>
    </xf>
    <xf numFmtId="1" fontId="38" fillId="4" borderId="0" xfId="0" applyNumberFormat="1" applyFont="1" applyFill="1" applyAlignment="1">
      <alignment horizontal="right" wrapText="1"/>
    </xf>
    <xf numFmtId="0" fontId="7" fillId="4" borderId="0" xfId="0" applyFont="1" applyFill="1" applyAlignment="1">
      <alignment horizontal="right"/>
    </xf>
    <xf numFmtId="0" fontId="16" fillId="4" borderId="0" xfId="0" applyFont="1" applyFill="1" applyAlignment="1">
      <alignment horizontal="center"/>
    </xf>
    <xf numFmtId="0" fontId="4" fillId="12" borderId="0" xfId="0" applyFont="1" applyFill="1" applyAlignment="1">
      <alignment horizontal="right"/>
    </xf>
    <xf numFmtId="0" fontId="4" fillId="12" borderId="0" xfId="0" applyFont="1" applyFill="1" applyAlignment="1">
      <alignment horizontal="center"/>
    </xf>
    <xf numFmtId="0" fontId="4" fillId="13" borderId="0" xfId="0" applyFont="1" applyFill="1" applyAlignment="1">
      <alignment horizontal="right"/>
    </xf>
    <xf numFmtId="0" fontId="13" fillId="13" borderId="0" xfId="0" applyFont="1" applyFill="1" applyAlignment="1">
      <alignment horizontal="right" wrapText="1"/>
    </xf>
    <xf numFmtId="0" fontId="13" fillId="13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right"/>
    </xf>
    <xf numFmtId="166" fontId="19" fillId="0" borderId="0" xfId="0" applyNumberFormat="1" applyFont="1"/>
    <xf numFmtId="0" fontId="12" fillId="0" borderId="0" xfId="0" quotePrefix="1" applyFont="1"/>
    <xf numFmtId="0" fontId="11" fillId="0" borderId="0" xfId="0" applyFont="1"/>
    <xf numFmtId="0" fontId="40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4" fillId="0" borderId="8" xfId="0" applyFont="1" applyBorder="1"/>
    <xf numFmtId="0" fontId="4" fillId="3" borderId="13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7" xfId="0" applyFont="1" applyFill="1" applyBorder="1"/>
    <xf numFmtId="0" fontId="4" fillId="3" borderId="2" xfId="0" applyFont="1" applyFill="1" applyBorder="1"/>
    <xf numFmtId="166" fontId="0" fillId="0" borderId="0" xfId="0" applyNumberFormat="1" applyAlignment="1">
      <alignment horizontal="center"/>
    </xf>
    <xf numFmtId="0" fontId="5" fillId="7" borderId="0" xfId="0" applyFont="1" applyFill="1" applyAlignment="1">
      <alignment horizontal="right" vertical="center" wrapText="1"/>
    </xf>
    <xf numFmtId="166" fontId="5" fillId="7" borderId="0" xfId="0" applyNumberFormat="1" applyFont="1" applyFill="1" applyAlignment="1">
      <alignment horizontal="right"/>
    </xf>
    <xf numFmtId="166" fontId="5" fillId="7" borderId="0" xfId="0" applyNumberFormat="1" applyFont="1" applyFill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6" fontId="11" fillId="0" borderId="0" xfId="0" applyNumberFormat="1" applyFont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6" xfId="0" applyFont="1" applyBorder="1"/>
    <xf numFmtId="166" fontId="3" fillId="10" borderId="1" xfId="0" applyNumberFormat="1" applyFont="1" applyFill="1" applyBorder="1"/>
    <xf numFmtId="166" fontId="3" fillId="10" borderId="7" xfId="0" applyNumberFormat="1" applyFont="1" applyFill="1" applyBorder="1"/>
    <xf numFmtId="166" fontId="3" fillId="10" borderId="2" xfId="0" applyNumberFormat="1" applyFont="1" applyFill="1" applyBorder="1"/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64" fontId="20" fillId="0" borderId="9" xfId="0" applyNumberFormat="1" applyFont="1" applyBorder="1"/>
    <xf numFmtId="1" fontId="35" fillId="0" borderId="0" xfId="0" applyNumberFormat="1" applyFont="1" applyBorder="1"/>
    <xf numFmtId="166" fontId="27" fillId="0" borderId="0" xfId="0" applyNumberFormat="1" applyFont="1" applyBorder="1"/>
    <xf numFmtId="0" fontId="4" fillId="4" borderId="0" xfId="0" applyFont="1" applyFill="1" applyAlignment="1">
      <alignment horizontal="right"/>
    </xf>
    <xf numFmtId="1" fontId="6" fillId="0" borderId="0" xfId="0" applyNumberFormat="1" applyFont="1" applyAlignment="1">
      <alignment horizontal="right"/>
    </xf>
    <xf numFmtId="0" fontId="13" fillId="3" borderId="10" xfId="0" applyFont="1" applyFill="1" applyBorder="1" applyAlignment="1">
      <alignment horizontal="right"/>
    </xf>
    <xf numFmtId="0" fontId="13" fillId="3" borderId="9" xfId="0" applyFont="1" applyFill="1" applyBorder="1" applyAlignment="1">
      <alignment horizontal="right"/>
    </xf>
    <xf numFmtId="2" fontId="2" fillId="2" borderId="0" xfId="0" applyNumberFormat="1" applyFont="1" applyFill="1" applyAlignment="1">
      <alignment horizontal="right" vertical="center" wrapText="1"/>
    </xf>
    <xf numFmtId="0" fontId="7" fillId="0" borderId="12" xfId="0" applyFont="1" applyBorder="1"/>
    <xf numFmtId="0" fontId="41" fillId="0" borderId="0" xfId="0" applyFont="1" applyAlignment="1">
      <alignment vertical="center"/>
    </xf>
    <xf numFmtId="0" fontId="0" fillId="0" borderId="0" xfId="0" applyFill="1"/>
    <xf numFmtId="0" fontId="13" fillId="0" borderId="8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right" vertical="center" wrapText="1"/>
    </xf>
    <xf numFmtId="9" fontId="4" fillId="3" borderId="10" xfId="0" applyNumberFormat="1" applyFont="1" applyFill="1" applyBorder="1" applyAlignment="1">
      <alignment horizontal="right" vertical="center" wrapText="1"/>
    </xf>
    <xf numFmtId="9" fontId="4" fillId="3" borderId="9" xfId="0" applyNumberFormat="1" applyFont="1" applyFill="1" applyBorder="1" applyAlignment="1">
      <alignment horizontal="right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10" borderId="13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3" fillId="3" borderId="0" xfId="0" applyFont="1" applyFill="1"/>
    <xf numFmtId="166" fontId="42" fillId="0" borderId="0" xfId="0" applyNumberFormat="1" applyFont="1"/>
    <xf numFmtId="0" fontId="42" fillId="0" borderId="0" xfId="0" quotePrefix="1" applyFont="1"/>
    <xf numFmtId="0" fontId="19" fillId="0" borderId="0" xfId="0" applyFont="1"/>
    <xf numFmtId="2" fontId="8" fillId="0" borderId="0" xfId="0" applyNumberFormat="1" applyFont="1" applyBorder="1" applyAlignment="1">
      <alignment vertical="center" wrapText="1"/>
    </xf>
    <xf numFmtId="2" fontId="8" fillId="3" borderId="0" xfId="0" applyNumberFormat="1" applyFont="1" applyFill="1" applyBorder="1" applyAlignment="1">
      <alignment vertical="center" wrapText="1"/>
    </xf>
    <xf numFmtId="2" fontId="8" fillId="3" borderId="12" xfId="0" applyNumberFormat="1" applyFont="1" applyFill="1" applyBorder="1" applyAlignment="1">
      <alignment vertical="center" wrapText="1"/>
    </xf>
    <xf numFmtId="2" fontId="8" fillId="0" borderId="15" xfId="0" applyNumberFormat="1" applyFont="1" applyBorder="1" applyAlignment="1">
      <alignment vertical="center" wrapText="1"/>
    </xf>
    <xf numFmtId="2" fontId="8" fillId="3" borderId="15" xfId="0" applyNumberFormat="1" applyFont="1" applyFill="1" applyBorder="1" applyAlignment="1">
      <alignment vertical="center" wrapText="1"/>
    </xf>
    <xf numFmtId="2" fontId="8" fillId="3" borderId="14" xfId="0" applyNumberFormat="1" applyFont="1" applyFill="1" applyBorder="1" applyAlignment="1">
      <alignment vertical="center" wrapText="1"/>
    </xf>
    <xf numFmtId="2" fontId="8" fillId="0" borderId="10" xfId="0" applyNumberFormat="1" applyFont="1" applyBorder="1" applyAlignment="1">
      <alignment vertical="center" wrapText="1"/>
    </xf>
    <xf numFmtId="2" fontId="8" fillId="3" borderId="10" xfId="0" applyNumberFormat="1" applyFont="1" applyFill="1" applyBorder="1" applyAlignment="1">
      <alignment vertical="center" wrapText="1"/>
    </xf>
    <xf numFmtId="2" fontId="8" fillId="3" borderId="9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horizontal="right"/>
    </xf>
    <xf numFmtId="166" fontId="6" fillId="0" borderId="0" xfId="0" applyNumberFormat="1" applyFont="1"/>
    <xf numFmtId="0" fontId="6" fillId="0" borderId="0" xfId="0" applyFont="1"/>
    <xf numFmtId="0" fontId="20" fillId="0" borderId="2" xfId="0" applyFont="1" applyBorder="1" applyAlignment="1">
      <alignment horizontal="right"/>
    </xf>
    <xf numFmtId="0" fontId="0" fillId="2" borderId="0" xfId="0" applyFill="1" applyAlignment="1">
      <alignment vertical="center"/>
    </xf>
    <xf numFmtId="0" fontId="44" fillId="0" borderId="0" xfId="0" applyFont="1"/>
    <xf numFmtId="0" fontId="7" fillId="0" borderId="11" xfId="0" applyFon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166" fontId="4" fillId="0" borderId="15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6" fontId="8" fillId="0" borderId="8" xfId="0" applyNumberFormat="1" applyFont="1" applyBorder="1"/>
    <xf numFmtId="166" fontId="8" fillId="0" borderId="10" xfId="0" applyNumberFormat="1" applyFont="1" applyBorder="1"/>
    <xf numFmtId="166" fontId="8" fillId="0" borderId="9" xfId="0" applyNumberFormat="1" applyFont="1" applyBorder="1"/>
    <xf numFmtId="166" fontId="8" fillId="0" borderId="11" xfId="0" applyNumberFormat="1" applyFont="1" applyBorder="1"/>
    <xf numFmtId="0" fontId="4" fillId="0" borderId="13" xfId="0" applyFont="1" applyBorder="1" applyAlignment="1">
      <alignment horizontal="center"/>
    </xf>
    <xf numFmtId="166" fontId="8" fillId="0" borderId="13" xfId="0" applyNumberFormat="1" applyFont="1" applyBorder="1"/>
    <xf numFmtId="166" fontId="8" fillId="0" borderId="15" xfId="0" applyNumberFormat="1" applyFont="1" applyBorder="1"/>
    <xf numFmtId="166" fontId="8" fillId="0" borderId="14" xfId="0" applyNumberFormat="1" applyFont="1" applyBorder="1"/>
    <xf numFmtId="0" fontId="20" fillId="0" borderId="0" xfId="0" applyFont="1"/>
    <xf numFmtId="0" fontId="0" fillId="0" borderId="8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2" fontId="8" fillId="0" borderId="10" xfId="0" applyNumberFormat="1" applyFont="1" applyFill="1" applyBorder="1"/>
    <xf numFmtId="2" fontId="8" fillId="0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4" xfId="0" applyNumberFormat="1" applyFont="1" applyFill="1" applyBorder="1"/>
    <xf numFmtId="2" fontId="18" fillId="0" borderId="0" xfId="0" applyNumberFormat="1" applyFont="1"/>
    <xf numFmtId="166" fontId="39" fillId="0" borderId="0" xfId="0" applyNumberFormat="1" applyFont="1"/>
    <xf numFmtId="166" fontId="51" fillId="0" borderId="0" xfId="0" applyNumberFormat="1" applyFont="1"/>
    <xf numFmtId="0" fontId="7" fillId="0" borderId="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8" fillId="0" borderId="5" xfId="0" applyFont="1" applyFill="1" applyBorder="1"/>
    <xf numFmtId="0" fontId="8" fillId="0" borderId="6" xfId="0" applyFont="1" applyFill="1" applyBorder="1"/>
    <xf numFmtId="0" fontId="9" fillId="15" borderId="1" xfId="0" applyFont="1" applyFill="1" applyBorder="1" applyAlignment="1">
      <alignment horizontal="right"/>
    </xf>
    <xf numFmtId="0" fontId="4" fillId="15" borderId="7" xfId="0" applyFont="1" applyFill="1" applyBorder="1" applyAlignment="1">
      <alignment horizontal="right"/>
    </xf>
    <xf numFmtId="0" fontId="9" fillId="15" borderId="7" xfId="0" applyFont="1" applyFill="1" applyBorder="1" applyAlignment="1">
      <alignment horizontal="right"/>
    </xf>
    <xf numFmtId="0" fontId="4" fillId="15" borderId="2" xfId="0" quotePrefix="1" applyFont="1" applyFill="1" applyBorder="1" applyAlignment="1">
      <alignment horizontal="right"/>
    </xf>
    <xf numFmtId="166" fontId="34" fillId="14" borderId="0" xfId="0" applyNumberFormat="1" applyFont="1" applyFill="1" applyAlignment="1">
      <alignment horizontal="right"/>
    </xf>
    <xf numFmtId="166" fontId="21" fillId="0" borderId="0" xfId="0" applyNumberFormat="1" applyFont="1" applyFill="1"/>
    <xf numFmtId="0" fontId="3" fillId="0" borderId="0" xfId="0" applyFont="1" applyFill="1"/>
    <xf numFmtId="166" fontId="21" fillId="0" borderId="0" xfId="0" applyNumberFormat="1" applyFont="1" applyFill="1" applyAlignment="1">
      <alignment horizontal="right"/>
    </xf>
    <xf numFmtId="166" fontId="3" fillId="0" borderId="0" xfId="0" applyNumberFormat="1" applyFont="1" applyFill="1"/>
    <xf numFmtId="0" fontId="29" fillId="3" borderId="9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vertical="center"/>
    </xf>
    <xf numFmtId="166" fontId="11" fillId="0" borderId="9" xfId="0" applyNumberFormat="1" applyFont="1" applyBorder="1"/>
    <xf numFmtId="166" fontId="11" fillId="0" borderId="12" xfId="0" applyNumberFormat="1" applyFont="1" applyBorder="1"/>
    <xf numFmtId="166" fontId="11" fillId="0" borderId="14" xfId="0" applyNumberFormat="1" applyFont="1" applyBorder="1"/>
    <xf numFmtId="166" fontId="18" fillId="0" borderId="0" xfId="0" applyNumberFormat="1" applyFont="1"/>
    <xf numFmtId="166" fontId="0" fillId="0" borderId="0" xfId="0" applyNumberFormat="1"/>
    <xf numFmtId="0" fontId="39" fillId="0" borderId="3" xfId="0" applyFont="1" applyFill="1" applyBorder="1"/>
    <xf numFmtId="0" fontId="39" fillId="0" borderId="4" xfId="0" applyFont="1" applyFill="1" applyBorder="1"/>
    <xf numFmtId="0" fontId="39" fillId="0" borderId="5" xfId="0" applyFont="1" applyFill="1" applyBorder="1"/>
    <xf numFmtId="0" fontId="39" fillId="0" borderId="6" xfId="0" applyFont="1" applyFill="1" applyBorder="1"/>
    <xf numFmtId="0" fontId="39" fillId="0" borderId="3" xfId="0" applyFont="1" applyBorder="1"/>
    <xf numFmtId="0" fontId="39" fillId="0" borderId="4" xfId="0" applyFont="1" applyBorder="1"/>
    <xf numFmtId="0" fontId="39" fillId="0" borderId="5" xfId="0" applyFont="1" applyBorder="1"/>
    <xf numFmtId="0" fontId="39" fillId="0" borderId="6" xfId="0" applyFont="1" applyBorder="1"/>
    <xf numFmtId="0" fontId="39" fillId="0" borderId="9" xfId="0" applyFont="1" applyBorder="1"/>
    <xf numFmtId="0" fontId="39" fillId="0" borderId="12" xfId="0" applyFont="1" applyBorder="1"/>
    <xf numFmtId="0" fontId="18" fillId="0" borderId="9" xfId="0" applyFont="1" applyBorder="1"/>
    <xf numFmtId="0" fontId="2" fillId="4" borderId="0" xfId="0" applyFont="1" applyFill="1" applyAlignment="1"/>
    <xf numFmtId="2" fontId="4" fillId="0" borderId="0" xfId="0" applyNumberFormat="1" applyFont="1"/>
    <xf numFmtId="0" fontId="17" fillId="2" borderId="0" xfId="0" applyFont="1" applyFill="1" applyBorder="1" applyAlignment="1">
      <alignment vertical="center"/>
    </xf>
    <xf numFmtId="0" fontId="17" fillId="4" borderId="0" xfId="0" applyFont="1" applyFill="1" applyAlignment="1"/>
    <xf numFmtId="0" fontId="52" fillId="0" borderId="0" xfId="0" applyFont="1"/>
    <xf numFmtId="0" fontId="15" fillId="6" borderId="0" xfId="0" applyFont="1" applyFill="1" applyAlignment="1">
      <alignment horizontal="right" vertical="center" wrapText="1"/>
    </xf>
    <xf numFmtId="165" fontId="53" fillId="0" borderId="0" xfId="0" applyNumberFormat="1" applyFont="1"/>
    <xf numFmtId="0" fontId="54" fillId="6" borderId="0" xfId="0" applyFont="1" applyFill="1" applyAlignment="1">
      <alignment horizontal="center"/>
    </xf>
    <xf numFmtId="0" fontId="17" fillId="4" borderId="0" xfId="0" applyFont="1" applyFill="1"/>
    <xf numFmtId="0" fontId="52" fillId="9" borderId="0" xfId="0" applyFont="1" applyFill="1"/>
    <xf numFmtId="0" fontId="38" fillId="9" borderId="0" xfId="0" applyFont="1" applyFill="1" applyAlignment="1">
      <alignment horizontal="righ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6" fillId="0" borderId="0" xfId="0" applyFont="1" applyAlignment="1">
      <alignment horizontal="right"/>
    </xf>
    <xf numFmtId="0" fontId="0" fillId="0" borderId="21" xfId="0" applyBorder="1"/>
    <xf numFmtId="2" fontId="56" fillId="0" borderId="22" xfId="0" applyNumberFormat="1" applyFont="1" applyBorder="1"/>
    <xf numFmtId="0" fontId="0" fillId="0" borderId="24" xfId="0" applyBorder="1"/>
    <xf numFmtId="2" fontId="56" fillId="0" borderId="25" xfId="0" applyNumberFormat="1" applyFont="1" applyBorder="1"/>
    <xf numFmtId="0" fontId="1" fillId="0" borderId="2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2" fontId="56" fillId="0" borderId="27" xfId="0" applyNumberFormat="1" applyFont="1" applyBorder="1"/>
    <xf numFmtId="0" fontId="55" fillId="0" borderId="0" xfId="0" applyFont="1"/>
    <xf numFmtId="0" fontId="1" fillId="0" borderId="8" xfId="0" applyFont="1" applyBorder="1" applyAlignment="1">
      <alignment horizontal="right"/>
    </xf>
    <xf numFmtId="2" fontId="56" fillId="0" borderId="9" xfId="0" applyNumberFormat="1" applyFont="1" applyBorder="1"/>
    <xf numFmtId="0" fontId="1" fillId="0" borderId="13" xfId="0" applyFont="1" applyBorder="1" applyAlignment="1">
      <alignment horizontal="right"/>
    </xf>
    <xf numFmtId="0" fontId="0" fillId="0" borderId="15" xfId="0" applyBorder="1"/>
    <xf numFmtId="2" fontId="56" fillId="0" borderId="14" xfId="0" applyNumberFormat="1" applyFont="1" applyBorder="1"/>
    <xf numFmtId="0" fontId="1" fillId="0" borderId="26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3" xfId="0" applyBorder="1"/>
    <xf numFmtId="0" fontId="13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11" borderId="0" xfId="0" applyFont="1" applyFill="1"/>
    <xf numFmtId="0" fontId="13" fillId="11" borderId="0" xfId="0" applyFont="1" applyFill="1"/>
    <xf numFmtId="0" fontId="8" fillId="11" borderId="0" xfId="0" applyFont="1" applyFill="1"/>
    <xf numFmtId="0" fontId="11" fillId="11" borderId="0" xfId="0" applyFont="1" applyFill="1"/>
    <xf numFmtId="166" fontId="8" fillId="10" borderId="0" xfId="0" applyNumberFormat="1" applyFont="1" applyFill="1"/>
    <xf numFmtId="165" fontId="8" fillId="0" borderId="14" xfId="0" applyNumberFormat="1" applyFont="1" applyBorder="1"/>
    <xf numFmtId="0" fontId="16" fillId="0" borderId="0" xfId="0" applyFont="1"/>
    <xf numFmtId="1" fontId="11" fillId="0" borderId="0" xfId="0" applyNumberFormat="1" applyFont="1"/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right"/>
    </xf>
    <xf numFmtId="1" fontId="2" fillId="0" borderId="16" xfId="0" applyNumberFormat="1" applyFont="1" applyBorder="1"/>
    <xf numFmtId="2" fontId="13" fillId="0" borderId="0" xfId="0" applyNumberFormat="1" applyFont="1" applyAlignment="1">
      <alignment horizontal="right"/>
    </xf>
    <xf numFmtId="0" fontId="19" fillId="3" borderId="0" xfId="0" applyFont="1" applyFill="1" applyAlignment="1">
      <alignment horizontal="right" vertical="center"/>
    </xf>
    <xf numFmtId="166" fontId="11" fillId="10" borderId="0" xfId="0" applyNumberFormat="1" applyFont="1" applyFill="1"/>
    <xf numFmtId="166" fontId="2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2" fillId="16" borderId="0" xfId="0" applyFont="1" applyFill="1"/>
    <xf numFmtId="0" fontId="2" fillId="16" borderId="0" xfId="0" applyFont="1" applyFill="1" applyAlignment="1">
      <alignment horizontal="right"/>
    </xf>
    <xf numFmtId="0" fontId="58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165" fontId="3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5" fontId="3" fillId="3" borderId="0" xfId="0" applyNumberFormat="1" applyFont="1" applyFill="1"/>
    <xf numFmtId="0" fontId="1" fillId="0" borderId="0" xfId="0" applyFont="1" applyFill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" fontId="29" fillId="0" borderId="0" xfId="0" quotePrefix="1" applyNumberFormat="1" applyFont="1"/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0" fillId="0" borderId="8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166" fontId="8" fillId="10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66" fontId="4" fillId="5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12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9" fillId="7" borderId="0" xfId="0" applyFont="1" applyFill="1" applyAlignment="1">
      <alignment horizontal="left"/>
    </xf>
    <xf numFmtId="0" fontId="19" fillId="5" borderId="0" xfId="0" applyFont="1" applyFill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66" fontId="4" fillId="7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166" fontId="0" fillId="8" borderId="0" xfId="0" applyNumberForma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</cellXfs>
  <cellStyles count="2">
    <cellStyle name="Normal" xfId="0" builtinId="0"/>
    <cellStyle name="Normal 2" xfId="1" xr:uid="{025F08A0-2673-4C2C-AB4A-D81B90F22294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231775</xdr:colOff>
      <xdr:row>14</xdr:row>
      <xdr:rowOff>12700</xdr:rowOff>
    </xdr:from>
    <xdr:ext cx="415925" cy="34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2F3E5F5-7856-4F6D-82D6-9F84ADEF6424}"/>
                </a:ext>
              </a:extLst>
            </xdr:cNvPr>
            <xdr:cNvSpPr txBox="1"/>
          </xdr:nvSpPr>
          <xdr:spPr>
            <a:xfrm>
              <a:off x="5775325" y="25908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1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100" b="1"/>
                <a:t> =</a:t>
              </a: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2F3E5F5-7856-4F6D-82D6-9F84ADEF6424}"/>
                </a:ext>
              </a:extLst>
            </xdr:cNvPr>
            <xdr:cNvSpPr txBox="1"/>
          </xdr:nvSpPr>
          <xdr:spPr>
            <a:xfrm>
              <a:off x="5775325" y="25908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1800" b="1" i="0">
                  <a:latin typeface="Cambria Math" panose="02040503050406030204" pitchFamily="18" charset="0"/>
                </a:rPr>
                <a:t>𝒙^𝟐</a:t>
              </a:r>
              <a:r>
                <a:rPr lang="en-CA" sz="1100" b="1"/>
                <a:t> =</a:t>
              </a:r>
            </a:p>
          </xdr:txBody>
        </xdr:sp>
      </mc:Fallback>
    </mc:AlternateContent>
    <xdr:clientData/>
  </xdr:oneCellAnchor>
  <xdr:oneCellAnchor>
    <xdr:from>
      <xdr:col>5</xdr:col>
      <xdr:colOff>142875</xdr:colOff>
      <xdr:row>22</xdr:row>
      <xdr:rowOff>123825</xdr:rowOff>
    </xdr:from>
    <xdr:ext cx="485775" cy="352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7B51FE7-580F-4E3B-800E-BB40B44CD541}"/>
                </a:ext>
              </a:extLst>
            </xdr:cNvPr>
            <xdr:cNvSpPr txBox="1"/>
          </xdr:nvSpPr>
          <xdr:spPr>
            <a:xfrm>
              <a:off x="3222625" y="4175125"/>
              <a:ext cx="485775" cy="352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24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24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24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400" b="1"/>
                <a:t> =</a:t>
              </a:r>
              <a:endParaRPr lang="en-CA" sz="1100" b="1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7B51FE7-580F-4E3B-800E-BB40B44CD541}"/>
                </a:ext>
              </a:extLst>
            </xdr:cNvPr>
            <xdr:cNvSpPr txBox="1"/>
          </xdr:nvSpPr>
          <xdr:spPr>
            <a:xfrm>
              <a:off x="3222625" y="4175125"/>
              <a:ext cx="485775" cy="352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2400" b="1" i="0">
                  <a:latin typeface="Cambria Math" panose="02040503050406030204" pitchFamily="18" charset="0"/>
                </a:rPr>
                <a:t>𝒙^𝟐</a:t>
              </a:r>
              <a:r>
                <a:rPr lang="en-CA" sz="1400" b="1"/>
                <a:t> =</a:t>
              </a:r>
              <a:endParaRPr lang="en-CA" sz="1100" b="1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49</xdr:row>
      <xdr:rowOff>0</xdr:rowOff>
    </xdr:from>
    <xdr:to>
      <xdr:col>11</xdr:col>
      <xdr:colOff>57150</xdr:colOff>
      <xdr:row>50</xdr:row>
      <xdr:rowOff>120650</xdr:rowOff>
    </xdr:to>
    <xdr:sp macro="" textlink="">
      <xdr:nvSpPr>
        <xdr:cNvPr id="2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DD3AFB4C-324C-4891-A732-A8BAE7D7E49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3" name="AutoShape 8" descr="{\textstyle O_{i}\geq 0}">
          <a:extLst>
            <a:ext uri="{FF2B5EF4-FFF2-40B4-BE49-F238E27FC236}">
              <a16:creationId xmlns:a16="http://schemas.microsoft.com/office/drawing/2014/main" id="{D7BA5DAC-FC09-4932-8A76-671A04B160D6}"/>
            </a:ext>
          </a:extLst>
        </xdr:cNvPr>
        <xdr:cNvSpPr>
          <a:spLocks noChangeAspect="1" noChangeArrowheads="1"/>
        </xdr:cNvSpPr>
      </xdr:nvSpPr>
      <xdr:spPr bwMode="auto">
        <a:xfrm>
          <a:off x="0" y="596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4" name="AutoShape 9" descr="{\textstyle E_{i}&gt;0}">
          <a:extLst>
            <a:ext uri="{FF2B5EF4-FFF2-40B4-BE49-F238E27FC236}">
              <a16:creationId xmlns:a16="http://schemas.microsoft.com/office/drawing/2014/main" id="{DB8F0140-B179-4752-A0E8-2466A9EA7665}"/>
            </a:ext>
          </a:extLst>
        </xdr:cNvPr>
        <xdr:cNvSpPr>
          <a:spLocks noChangeAspect="1" noChangeArrowheads="1"/>
        </xdr:cNvSpPr>
      </xdr:nvSpPr>
      <xdr:spPr bwMode="auto">
        <a:xfrm>
          <a:off x="0" y="614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5" name="AutoShape 10" descr="{\textstyle \ln }">
          <a:extLst>
            <a:ext uri="{FF2B5EF4-FFF2-40B4-BE49-F238E27FC236}">
              <a16:creationId xmlns:a16="http://schemas.microsoft.com/office/drawing/2014/main" id="{EEBA15F9-1E85-4665-A4BD-286571C03A60}"/>
            </a:ext>
          </a:extLst>
        </xdr:cNvPr>
        <xdr:cNvSpPr>
          <a:spLocks noChangeAspect="1" noChangeArrowheads="1"/>
        </xdr:cNvSpPr>
      </xdr:nvSpPr>
      <xdr:spPr bwMode="auto">
        <a:xfrm>
          <a:off x="0" y="633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6" name="AutoShape 11" descr="{\displaystyle \sum _{i}O_{i}=\sum _{i}E_{i}=N}">
          <a:extLst>
            <a:ext uri="{FF2B5EF4-FFF2-40B4-BE49-F238E27FC236}">
              <a16:creationId xmlns:a16="http://schemas.microsoft.com/office/drawing/2014/main" id="{60F019DF-F5AF-4D23-A0C0-5F2701103F36}"/>
            </a:ext>
          </a:extLst>
        </xdr:cNvPr>
        <xdr:cNvSpPr>
          <a:spLocks noChangeAspect="1" noChangeArrowheads="1"/>
        </xdr:cNvSpPr>
      </xdr:nvSpPr>
      <xdr:spPr bwMode="auto">
        <a:xfrm>
          <a:off x="0" y="688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7" name="AutoShape 12" descr="{\textstyle N}">
          <a:extLst>
            <a:ext uri="{FF2B5EF4-FFF2-40B4-BE49-F238E27FC236}">
              <a16:creationId xmlns:a16="http://schemas.microsoft.com/office/drawing/2014/main" id="{C02D0CCA-5D16-4C5D-AB1E-5537E04F66C8}"/>
            </a:ext>
          </a:extLst>
        </xdr:cNvPr>
        <xdr:cNvSpPr>
          <a:spLocks noChangeAspect="1" noChangeArrowheads="1"/>
        </xdr:cNvSpPr>
      </xdr:nvSpPr>
      <xdr:spPr bwMode="auto">
        <a:xfrm>
          <a:off x="0" y="76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2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1EF5199B-F83E-4694-B3C4-28111E7FB0F0}"/>
            </a:ext>
          </a:extLst>
        </xdr:cNvPr>
        <xdr:cNvSpPr>
          <a:spLocks noChangeAspect="1" noChangeArrowheads="1"/>
        </xdr:cNvSpPr>
      </xdr:nvSpPr>
      <xdr:spPr bwMode="auto">
        <a:xfrm>
          <a:off x="0" y="470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501650</xdr:colOff>
      <xdr:row>26</xdr:row>
      <xdr:rowOff>63500</xdr:rowOff>
    </xdr:from>
    <xdr:ext cx="304800" cy="304800"/>
    <xdr:sp macro="" textlink="">
      <xdr:nvSpPr>
        <xdr:cNvPr id="3" name="AutoShape 8" descr="{\textstyle O_{i}\geq 0}">
          <a:extLst>
            <a:ext uri="{FF2B5EF4-FFF2-40B4-BE49-F238E27FC236}">
              <a16:creationId xmlns:a16="http://schemas.microsoft.com/office/drawing/2014/main" id="{068FC251-C18D-4E1F-B160-68BC19E98928}"/>
            </a:ext>
          </a:extLst>
        </xdr:cNvPr>
        <xdr:cNvSpPr>
          <a:spLocks noChangeAspect="1" noChangeArrowheads="1"/>
        </xdr:cNvSpPr>
      </xdr:nvSpPr>
      <xdr:spPr bwMode="auto">
        <a:xfrm>
          <a:off x="1905000" y="528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" name="AutoShape 9" descr="{\textstyle E_{i}&gt;0}">
          <a:extLst>
            <a:ext uri="{FF2B5EF4-FFF2-40B4-BE49-F238E27FC236}">
              <a16:creationId xmlns:a16="http://schemas.microsoft.com/office/drawing/2014/main" id="{2099B791-4200-4456-A184-3A1661A971C4}"/>
            </a:ext>
          </a:extLst>
        </xdr:cNvPr>
        <xdr:cNvSpPr>
          <a:spLocks noChangeAspect="1" noChangeArrowheads="1"/>
        </xdr:cNvSpPr>
      </xdr:nvSpPr>
      <xdr:spPr bwMode="auto">
        <a:xfrm>
          <a:off x="0" y="59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5" name="AutoShape 10" descr="{\textstyle \ln }">
          <a:extLst>
            <a:ext uri="{FF2B5EF4-FFF2-40B4-BE49-F238E27FC236}">
              <a16:creationId xmlns:a16="http://schemas.microsoft.com/office/drawing/2014/main" id="{ED59194C-6C0B-4375-82EB-610B5C4B8183}"/>
            </a:ext>
          </a:extLst>
        </xdr:cNvPr>
        <xdr:cNvSpPr>
          <a:spLocks noChangeAspect="1" noChangeArrowheads="1"/>
        </xdr:cNvSpPr>
      </xdr:nvSpPr>
      <xdr:spPr bwMode="auto">
        <a:xfrm>
          <a:off x="0" y="59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6" name="AutoShape 11" descr="{\displaystyle \sum _{i}O_{i}=\sum _{i}E_{i}=N}">
          <a:extLst>
            <a:ext uri="{FF2B5EF4-FFF2-40B4-BE49-F238E27FC236}">
              <a16:creationId xmlns:a16="http://schemas.microsoft.com/office/drawing/2014/main" id="{A66E0A4A-8728-478A-99B8-D560ECDC4F4E}"/>
            </a:ext>
          </a:extLst>
        </xdr:cNvPr>
        <xdr:cNvSpPr>
          <a:spLocks noChangeAspect="1" noChangeArrowheads="1"/>
        </xdr:cNvSpPr>
      </xdr:nvSpPr>
      <xdr:spPr bwMode="auto">
        <a:xfrm>
          <a:off x="0" y="59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7" name="AutoShape 12" descr="{\textstyle N}">
          <a:extLst>
            <a:ext uri="{FF2B5EF4-FFF2-40B4-BE49-F238E27FC236}">
              <a16:creationId xmlns:a16="http://schemas.microsoft.com/office/drawing/2014/main" id="{8425E57B-F2F5-45A9-92BA-F9C150E68B98}"/>
            </a:ext>
          </a:extLst>
        </xdr:cNvPr>
        <xdr:cNvSpPr>
          <a:spLocks noChangeAspect="1" noChangeArrowheads="1"/>
        </xdr:cNvSpPr>
      </xdr:nvSpPr>
      <xdr:spPr bwMode="auto">
        <a:xfrm>
          <a:off x="0" y="59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361950</xdr:colOff>
      <xdr:row>29</xdr:row>
      <xdr:rowOff>0</xdr:rowOff>
    </xdr:from>
    <xdr:ext cx="304800" cy="444500"/>
    <xdr:sp macro="" textlink="">
      <xdr:nvSpPr>
        <xdr:cNvPr id="8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093D61AE-A93C-4AF9-84BF-0CF01CAC06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981700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74650"/>
    <xdr:sp macro="" textlink="">
      <xdr:nvSpPr>
        <xdr:cNvPr id="9" name="AutoShape 8" descr="{\textstyle O_{i}\geq 0}">
          <a:extLst>
            <a:ext uri="{FF2B5EF4-FFF2-40B4-BE49-F238E27FC236}">
              <a16:creationId xmlns:a16="http://schemas.microsoft.com/office/drawing/2014/main" id="{C1551F63-186D-4F54-BB24-97679ACE3315}"/>
            </a:ext>
          </a:extLst>
        </xdr:cNvPr>
        <xdr:cNvSpPr>
          <a:spLocks noChangeAspect="1" noChangeArrowheads="1"/>
        </xdr:cNvSpPr>
      </xdr:nvSpPr>
      <xdr:spPr bwMode="auto">
        <a:xfrm>
          <a:off x="0" y="598170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74650"/>
    <xdr:sp macro="" textlink="">
      <xdr:nvSpPr>
        <xdr:cNvPr id="10" name="AutoShape 9" descr="{\textstyle E_{i}&gt;0}">
          <a:extLst>
            <a:ext uri="{FF2B5EF4-FFF2-40B4-BE49-F238E27FC236}">
              <a16:creationId xmlns:a16="http://schemas.microsoft.com/office/drawing/2014/main" id="{6B2F97A2-47ED-4B9B-889B-A9ACEFB3ED07}"/>
            </a:ext>
          </a:extLst>
        </xdr:cNvPr>
        <xdr:cNvSpPr>
          <a:spLocks noChangeAspect="1" noChangeArrowheads="1"/>
        </xdr:cNvSpPr>
      </xdr:nvSpPr>
      <xdr:spPr bwMode="auto">
        <a:xfrm>
          <a:off x="0" y="598170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768350</xdr:colOff>
      <xdr:row>34</xdr:row>
      <xdr:rowOff>63500</xdr:rowOff>
    </xdr:from>
    <xdr:ext cx="304800" cy="374650"/>
    <xdr:sp macro="" textlink="">
      <xdr:nvSpPr>
        <xdr:cNvPr id="11" name="AutoShape 10" descr="{\textstyle \ln }">
          <a:extLst>
            <a:ext uri="{FF2B5EF4-FFF2-40B4-BE49-F238E27FC236}">
              <a16:creationId xmlns:a16="http://schemas.microsoft.com/office/drawing/2014/main" id="{B12067DE-8757-4C5F-9488-7084F1A018C8}"/>
            </a:ext>
          </a:extLst>
        </xdr:cNvPr>
        <xdr:cNvSpPr>
          <a:spLocks noChangeAspect="1" noChangeArrowheads="1"/>
        </xdr:cNvSpPr>
      </xdr:nvSpPr>
      <xdr:spPr bwMode="auto">
        <a:xfrm>
          <a:off x="3587750" y="721995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666750</xdr:colOff>
      <xdr:row>29</xdr:row>
      <xdr:rowOff>0</xdr:rowOff>
    </xdr:from>
    <xdr:ext cx="304800" cy="374650"/>
    <xdr:sp macro="" textlink="">
      <xdr:nvSpPr>
        <xdr:cNvPr id="12" name="AutoShape 12" descr="{\textstyle N}">
          <a:extLst>
            <a:ext uri="{FF2B5EF4-FFF2-40B4-BE49-F238E27FC236}">
              <a16:creationId xmlns:a16="http://schemas.microsoft.com/office/drawing/2014/main" id="{285A3726-2A76-4271-901E-124A0071175D}"/>
            </a:ext>
          </a:extLst>
        </xdr:cNvPr>
        <xdr:cNvSpPr>
          <a:spLocks noChangeAspect="1" noChangeArrowheads="1"/>
        </xdr:cNvSpPr>
      </xdr:nvSpPr>
      <xdr:spPr bwMode="auto">
        <a:xfrm>
          <a:off x="1282700" y="598170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768350</xdr:colOff>
      <xdr:row>27</xdr:row>
      <xdr:rowOff>63500</xdr:rowOff>
    </xdr:from>
    <xdr:ext cx="304800" cy="374650"/>
    <xdr:sp macro="" textlink="">
      <xdr:nvSpPr>
        <xdr:cNvPr id="13" name="AutoShape 10" descr="{\textstyle \ln }">
          <a:extLst>
            <a:ext uri="{FF2B5EF4-FFF2-40B4-BE49-F238E27FC236}">
              <a16:creationId xmlns:a16="http://schemas.microsoft.com/office/drawing/2014/main" id="{F985B1C5-62FC-4E69-8DBA-6D35B1B3E921}"/>
            </a:ext>
          </a:extLst>
        </xdr:cNvPr>
        <xdr:cNvSpPr>
          <a:spLocks noChangeAspect="1" noChangeArrowheads="1"/>
        </xdr:cNvSpPr>
      </xdr:nvSpPr>
      <xdr:spPr bwMode="auto">
        <a:xfrm>
          <a:off x="3587750" y="552450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o4250_GSM_on_Fitness_Schedule,_2020Oct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250%20Migration%20Selection%20equilbira,%202020%20Oct%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io4250%20Migration%20-%20Selection%20equilibrium,%202020%20Oct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M "/>
      <sheetName val="Additive vs Genic selection"/>
      <sheetName val="GSM  (2)"/>
      <sheetName val="GSM  (3)"/>
      <sheetName val="GSM  (4)"/>
      <sheetName val="GSM  (5)"/>
      <sheetName val="GSM  (6)"/>
    </sheetNames>
    <sheetDataSet>
      <sheetData sheetId="0">
        <row r="9">
          <cell r="H9">
            <v>0.75</v>
          </cell>
        </row>
        <row r="10">
          <cell r="H10">
            <v>0.75</v>
          </cell>
        </row>
        <row r="11">
          <cell r="H11">
            <v>0.75</v>
          </cell>
        </row>
        <row r="12">
          <cell r="H12">
            <v>0.75</v>
          </cell>
        </row>
        <row r="13">
          <cell r="H13">
            <v>0.75</v>
          </cell>
        </row>
        <row r="14">
          <cell r="H14">
            <v>0.75</v>
          </cell>
        </row>
        <row r="15">
          <cell r="H15">
            <v>0.75</v>
          </cell>
        </row>
        <row r="16">
          <cell r="H16">
            <v>0.75</v>
          </cell>
        </row>
        <row r="17">
          <cell r="H17">
            <v>0.75</v>
          </cell>
        </row>
        <row r="18">
          <cell r="H18">
            <v>0.75</v>
          </cell>
        </row>
        <row r="19">
          <cell r="H19">
            <v>0.75</v>
          </cell>
        </row>
        <row r="20">
          <cell r="H20">
            <v>0.75</v>
          </cell>
        </row>
        <row r="21">
          <cell r="H21">
            <v>0.75</v>
          </cell>
        </row>
        <row r="22">
          <cell r="H22">
            <v>0.75</v>
          </cell>
        </row>
        <row r="23">
          <cell r="H23">
            <v>0.75</v>
          </cell>
        </row>
        <row r="24">
          <cell r="H24">
            <v>0.75</v>
          </cell>
        </row>
        <row r="25">
          <cell r="H25">
            <v>0.75</v>
          </cell>
        </row>
        <row r="26">
          <cell r="H26">
            <v>0.75</v>
          </cell>
        </row>
        <row r="27">
          <cell r="H27">
            <v>0.75</v>
          </cell>
        </row>
        <row r="28">
          <cell r="H28">
            <v>0.75</v>
          </cell>
        </row>
        <row r="29">
          <cell r="H29">
            <v>0.75</v>
          </cell>
        </row>
        <row r="30">
          <cell r="H30">
            <v>0.75</v>
          </cell>
        </row>
        <row r="31">
          <cell r="H31">
            <v>0.76680181167360639</v>
          </cell>
        </row>
        <row r="32">
          <cell r="H32">
            <v>0.80082205164186004</v>
          </cell>
        </row>
        <row r="33">
          <cell r="H33">
            <v>0.83169945143961355</v>
          </cell>
        </row>
        <row r="34">
          <cell r="H34">
            <v>0.85913087638631225</v>
          </cell>
        </row>
        <row r="35">
          <cell r="H35">
            <v>0.88314700941077928</v>
          </cell>
        </row>
        <row r="36">
          <cell r="H36">
            <v>0.90388619074986465</v>
          </cell>
        </row>
        <row r="37">
          <cell r="H37">
            <v>0.92156704455860838</v>
          </cell>
        </row>
        <row r="38">
          <cell r="H38">
            <v>0.93646220152243043</v>
          </cell>
        </row>
        <row r="39">
          <cell r="H39">
            <v>0.94887388549386276</v>
          </cell>
        </row>
        <row r="40">
          <cell r="H40">
            <v>0.95911318194139539</v>
          </cell>
        </row>
        <row r="41">
          <cell r="H41">
            <v>0.96748388220277648</v>
          </cell>
        </row>
        <row r="42">
          <cell r="H42">
            <v>0.97427101984907916</v>
          </cell>
        </row>
        <row r="43">
          <cell r="H43">
            <v>0.97973367585227267</v>
          </cell>
        </row>
        <row r="44">
          <cell r="H44">
            <v>0.98410132820083385</v>
          </cell>
        </row>
        <row r="45">
          <cell r="H45">
            <v>0.98757291592065366</v>
          </cell>
        </row>
        <row r="46">
          <cell r="H46">
            <v>0.99031781746983327</v>
          </cell>
        </row>
        <row r="47">
          <cell r="H47">
            <v>0.99247805179641513</v>
          </cell>
        </row>
        <row r="48">
          <cell r="H48">
            <v>0.99417115150347346</v>
          </cell>
        </row>
        <row r="49">
          <cell r="H49">
            <v>0.99549330066682695</v>
          </cell>
        </row>
        <row r="50">
          <cell r="H50">
            <v>0.996522457133033</v>
          </cell>
        </row>
        <row r="51">
          <cell r="H51">
            <v>0.99693213062260022</v>
          </cell>
        </row>
        <row r="52">
          <cell r="H52">
            <v>0.99693213062260022</v>
          </cell>
        </row>
        <row r="53">
          <cell r="H53">
            <v>0.99693213062260022</v>
          </cell>
        </row>
        <row r="54">
          <cell r="H54">
            <v>0.99693213062260022</v>
          </cell>
        </row>
        <row r="55">
          <cell r="H55">
            <v>0.99693213062260022</v>
          </cell>
        </row>
        <row r="56">
          <cell r="H56">
            <v>0.99693213062260022</v>
          </cell>
        </row>
        <row r="57">
          <cell r="H57">
            <v>0.99693213062260022</v>
          </cell>
        </row>
        <row r="58">
          <cell r="H58">
            <v>0.99693213062260022</v>
          </cell>
        </row>
        <row r="59">
          <cell r="H59">
            <v>0.99693213062260022</v>
          </cell>
        </row>
        <row r="60">
          <cell r="H60">
            <v>0.99693213062260022</v>
          </cell>
        </row>
        <row r="61">
          <cell r="H61">
            <v>0.99644579704074621</v>
          </cell>
        </row>
        <row r="62">
          <cell r="H62">
            <v>0.99505686410303529</v>
          </cell>
        </row>
        <row r="63">
          <cell r="H63">
            <v>0.99315206614066209</v>
          </cell>
        </row>
        <row r="64">
          <cell r="H64">
            <v>0.99056256364173212</v>
          </cell>
        </row>
        <row r="65">
          <cell r="H65">
            <v>0.98707165829870758</v>
          </cell>
        </row>
        <row r="66">
          <cell r="H66">
            <v>0.98241061025832266</v>
          </cell>
        </row>
        <row r="67">
          <cell r="H67">
            <v>0.97625493811200981</v>
          </cell>
        </row>
        <row r="68">
          <cell r="H68">
            <v>0.96822523580137076</v>
          </cell>
        </row>
        <row r="69">
          <cell r="H69">
            <v>0.95789486378783839</v>
          </cell>
        </row>
        <row r="70">
          <cell r="H70">
            <v>0.94480676399666019</v>
          </cell>
        </row>
        <row r="71">
          <cell r="H71">
            <v>0.92850087061219111</v>
          </cell>
        </row>
        <row r="72">
          <cell r="H72">
            <v>0.90855196304674357</v>
          </cell>
        </row>
        <row r="73">
          <cell r="H73">
            <v>0.88461540807583838</v>
          </cell>
        </row>
        <row r="74">
          <cell r="H74">
            <v>0.85647551052524418</v>
          </cell>
        </row>
        <row r="75">
          <cell r="H75">
            <v>0.82408894530055521</v>
          </cell>
        </row>
        <row r="76">
          <cell r="H76">
            <v>0.78761492807204037</v>
          </cell>
        </row>
        <row r="77">
          <cell r="H77">
            <v>0.74742507770966982</v>
          </cell>
        </row>
        <row r="78">
          <cell r="H78">
            <v>0.70408932865215179</v>
          </cell>
        </row>
        <row r="79">
          <cell r="H79">
            <v>0.6583389323503871</v>
          </cell>
        </row>
        <row r="80">
          <cell r="H80">
            <v>0.6583389323503871</v>
          </cell>
        </row>
        <row r="81">
          <cell r="H81">
            <v>0.67769621881164543</v>
          </cell>
        </row>
        <row r="82">
          <cell r="H82">
            <v>0.71235078428023635</v>
          </cell>
        </row>
        <row r="83">
          <cell r="H83">
            <v>0.74545456553003819</v>
          </cell>
        </row>
        <row r="84">
          <cell r="H84">
            <v>0.77669052243064041</v>
          </cell>
        </row>
        <row r="85">
          <cell r="H85">
            <v>0.80579817574533719</v>
          </cell>
        </row>
        <row r="86">
          <cell r="H86">
            <v>0.83258321107289268</v>
          </cell>
        </row>
        <row r="87">
          <cell r="H87">
            <v>0.85692271068713965</v>
          </cell>
        </row>
        <row r="88">
          <cell r="H88">
            <v>0.87876569307230379</v>
          </cell>
        </row>
        <row r="89">
          <cell r="H89">
            <v>0.89812916922540942</v>
          </cell>
        </row>
        <row r="90">
          <cell r="H90">
            <v>0.91509040155858545</v>
          </cell>
        </row>
        <row r="91">
          <cell r="H91">
            <v>0.93037099700753478</v>
          </cell>
        </row>
        <row r="92">
          <cell r="H92">
            <v>0.9438093205235194</v>
          </cell>
        </row>
        <row r="93">
          <cell r="H93">
            <v>0.95494683934706925</v>
          </cell>
        </row>
        <row r="94">
          <cell r="H94">
            <v>0.96408660594320794</v>
          </cell>
        </row>
        <row r="95">
          <cell r="H95">
            <v>0.971522818733902</v>
          </cell>
        </row>
        <row r="96">
          <cell r="H96">
            <v>0.97752637971617728</v>
          </cell>
        </row>
        <row r="97">
          <cell r="H97">
            <v>0.98233977944741468</v>
          </cell>
        </row>
        <row r="98">
          <cell r="H98">
            <v>0.98617509324352681</v>
          </cell>
        </row>
        <row r="99">
          <cell r="H99">
            <v>0.9892142268627675</v>
          </cell>
        </row>
        <row r="100">
          <cell r="H100">
            <v>0.99161066670690756</v>
          </cell>
        </row>
        <row r="101">
          <cell r="H101">
            <v>0.99349212143341448</v>
          </cell>
        </row>
        <row r="102">
          <cell r="H102">
            <v>0.9949635870182949</v>
          </cell>
        </row>
        <row r="103">
          <cell r="H103">
            <v>0.99611050286977099</v>
          </cell>
        </row>
        <row r="104">
          <cell r="H104">
            <v>0.99700178088219105</v>
          </cell>
        </row>
        <row r="105">
          <cell r="H105">
            <v>0.99769257859370086</v>
          </cell>
        </row>
        <row r="106">
          <cell r="H106">
            <v>0.99822675292808349</v>
          </cell>
        </row>
        <row r="107">
          <cell r="H107">
            <v>0.99863897582775718</v>
          </cell>
        </row>
        <row r="108">
          <cell r="H108">
            <v>0.99895652170139682</v>
          </cell>
        </row>
        <row r="109">
          <cell r="H109">
            <v>0.99920075317632717</v>
          </cell>
        </row>
        <row r="110">
          <cell r="H110">
            <v>0.99938833974548502</v>
          </cell>
        </row>
        <row r="111">
          <cell r="H111">
            <v>0.99953224638252747</v>
          </cell>
        </row>
        <row r="112">
          <cell r="H112">
            <v>0.99964252820350974</v>
          </cell>
        </row>
        <row r="113">
          <cell r="H113">
            <v>0.99972696430080132</v>
          </cell>
        </row>
        <row r="114">
          <cell r="H114">
            <v>0.99979155999550173</v>
          </cell>
        </row>
        <row r="115">
          <cell r="H115">
            <v>0.99984094261071887</v>
          </cell>
        </row>
        <row r="116">
          <cell r="H116">
            <v>0.99987867185738211</v>
          </cell>
        </row>
        <row r="117">
          <cell r="H117">
            <v>0.99990748226299597</v>
          </cell>
        </row>
        <row r="118">
          <cell r="H118">
            <v>0.99992947185899894</v>
          </cell>
        </row>
        <row r="119">
          <cell r="H119">
            <v>0.99994624859706127</v>
          </cell>
        </row>
        <row r="120">
          <cell r="H120">
            <v>0.99995904366842425</v>
          </cell>
        </row>
        <row r="121">
          <cell r="H121">
            <v>0.99996879901043123</v>
          </cell>
        </row>
        <row r="122">
          <cell r="H122">
            <v>0.99997623474854236</v>
          </cell>
        </row>
        <row r="123">
          <cell r="H123">
            <v>0.99998190108678775</v>
          </cell>
        </row>
        <row r="124">
          <cell r="H124">
            <v>0.99998621817432387</v>
          </cell>
        </row>
        <row r="125">
          <cell r="H125">
            <v>0.99998950669535902</v>
          </cell>
        </row>
        <row r="126">
          <cell r="H126">
            <v>0.99999201131516846</v>
          </cell>
        </row>
        <row r="127">
          <cell r="H127">
            <v>0.99999391863336751</v>
          </cell>
        </row>
        <row r="128">
          <cell r="H128">
            <v>0.99999537091978385</v>
          </cell>
        </row>
        <row r="129">
          <cell r="H129">
            <v>0.99999647661603175</v>
          </cell>
        </row>
        <row r="130">
          <cell r="H130">
            <v>0.99999731835928529</v>
          </cell>
        </row>
        <row r="131">
          <cell r="H131">
            <v>0.99999795910951561</v>
          </cell>
        </row>
        <row r="132">
          <cell r="H132">
            <v>0.99999844682623062</v>
          </cell>
        </row>
        <row r="133">
          <cell r="H133">
            <v>0.99999881803661161</v>
          </cell>
        </row>
        <row r="134">
          <cell r="H134">
            <v>0.99999910055684571</v>
          </cell>
        </row>
        <row r="135">
          <cell r="H135">
            <v>0.99999931556697175</v>
          </cell>
        </row>
        <row r="136">
          <cell r="H136">
            <v>0.99999947919238086</v>
          </cell>
        </row>
        <row r="137">
          <cell r="H137">
            <v>0.99999960370899144</v>
          </cell>
        </row>
        <row r="138">
          <cell r="H138">
            <v>0.99999969846145276</v>
          </cell>
        </row>
        <row r="139">
          <cell r="H139">
            <v>0.9999997705625836</v>
          </cell>
        </row>
        <row r="140">
          <cell r="H140">
            <v>0.99999982542608334</v>
          </cell>
        </row>
        <row r="141">
          <cell r="H141">
            <v>0.99999986717220035</v>
          </cell>
        </row>
        <row r="142">
          <cell r="H142">
            <v>0.99999989893662133</v>
          </cell>
        </row>
        <row r="143">
          <cell r="H143">
            <v>0.9999999231056429</v>
          </cell>
        </row>
        <row r="144">
          <cell r="H144">
            <v>0.99999994149520188</v>
          </cell>
        </row>
        <row r="145">
          <cell r="H145">
            <v>0.99999995548715825</v>
          </cell>
        </row>
        <row r="146">
          <cell r="H146">
            <v>0.99999996613302666</v>
          </cell>
        </row>
        <row r="147">
          <cell r="H147">
            <v>0.99999997423293041</v>
          </cell>
        </row>
        <row r="148">
          <cell r="H148">
            <v>0.99999998039568971</v>
          </cell>
        </row>
        <row r="149">
          <cell r="H149">
            <v>0.99999998508455323</v>
          </cell>
        </row>
        <row r="150">
          <cell r="H150">
            <v>0.99999998865199902</v>
          </cell>
        </row>
        <row r="151">
          <cell r="H151">
            <v>0.99999999136621853</v>
          </cell>
        </row>
        <row r="152">
          <cell r="H152">
            <v>0.99999999343126811</v>
          </cell>
        </row>
        <row r="153">
          <cell r="H153">
            <v>0.99999999500240633</v>
          </cell>
        </row>
        <row r="154">
          <cell r="H154">
            <v>0.99999999619776103</v>
          </cell>
        </row>
        <row r="155">
          <cell r="H155">
            <v>0.99999999710720877</v>
          </cell>
        </row>
        <row r="156">
          <cell r="H156">
            <v>0.99999999779913185</v>
          </cell>
        </row>
        <row r="157">
          <cell r="H157">
            <v>0.99999999832555697</v>
          </cell>
        </row>
        <row r="158">
          <cell r="H158">
            <v>0.99999999872606804</v>
          </cell>
        </row>
        <row r="159">
          <cell r="H159">
            <v>0.99999999903078196</v>
          </cell>
        </row>
        <row r="160">
          <cell r="H160">
            <v>0.99999999926261141</v>
          </cell>
        </row>
        <row r="161">
          <cell r="H161">
            <v>0.99999999943898943</v>
          </cell>
        </row>
        <row r="162">
          <cell r="H162">
            <v>0.99999999957317953</v>
          </cell>
        </row>
        <row r="163">
          <cell r="H163">
            <v>0.99999999967527242</v>
          </cell>
        </row>
        <row r="164">
          <cell r="H164">
            <v>0.99999999975294529</v>
          </cell>
        </row>
        <row r="165">
          <cell r="H165">
            <v>0.99999999981203957</v>
          </cell>
        </row>
        <row r="166">
          <cell r="H166">
            <v>0.99999999985699861</v>
          </cell>
        </row>
        <row r="167">
          <cell r="H167">
            <v>0.99999999989120392</v>
          </cell>
        </row>
        <row r="168">
          <cell r="H168">
            <v>0.99999999991722743</v>
          </cell>
        </row>
        <row r="169">
          <cell r="H169">
            <v>0.99999999993702637</v>
          </cell>
        </row>
        <row r="170">
          <cell r="H170">
            <v>0.99999999995208932</v>
          </cell>
        </row>
        <row r="171">
          <cell r="H171">
            <v>0.99999999996354949</v>
          </cell>
        </row>
        <row r="172">
          <cell r="H172">
            <v>0.99999999997226829</v>
          </cell>
        </row>
        <row r="173">
          <cell r="H173">
            <v>0.99999999997890165</v>
          </cell>
        </row>
        <row r="174">
          <cell r="H174">
            <v>0.99999999998394828</v>
          </cell>
        </row>
        <row r="175">
          <cell r="H175">
            <v>0.99999999998778777</v>
          </cell>
        </row>
        <row r="176">
          <cell r="H176">
            <v>0.99999999999070899</v>
          </cell>
        </row>
        <row r="177">
          <cell r="H177">
            <v>0.99999999999293132</v>
          </cell>
        </row>
        <row r="178">
          <cell r="H178">
            <v>0.99999999999462219</v>
          </cell>
        </row>
        <row r="179">
          <cell r="H179">
            <v>0.99999999999590838</v>
          </cell>
        </row>
        <row r="180">
          <cell r="H180">
            <v>0.99999999999688716</v>
          </cell>
        </row>
        <row r="181">
          <cell r="H181">
            <v>0.99999999999763178</v>
          </cell>
        </row>
        <row r="182">
          <cell r="H182">
            <v>0.99999999999819811</v>
          </cell>
        </row>
        <row r="183">
          <cell r="H183">
            <v>0.9999999999986291</v>
          </cell>
        </row>
        <row r="184">
          <cell r="H184">
            <v>0.99999999999895717</v>
          </cell>
        </row>
        <row r="185">
          <cell r="H185">
            <v>0.99999999999920652</v>
          </cell>
        </row>
        <row r="186">
          <cell r="H186">
            <v>0.99999999999939626</v>
          </cell>
        </row>
        <row r="187">
          <cell r="H187">
            <v>0.99999999999954081</v>
          </cell>
        </row>
        <row r="188">
          <cell r="H188">
            <v>0.99999999999965061</v>
          </cell>
        </row>
        <row r="189">
          <cell r="H189">
            <v>0.9999999999997341</v>
          </cell>
        </row>
        <row r="190">
          <cell r="H190">
            <v>0.99999999999979783</v>
          </cell>
        </row>
        <row r="191">
          <cell r="H191">
            <v>0.99999999999984612</v>
          </cell>
        </row>
        <row r="192">
          <cell r="H192">
            <v>0.99999999999988287</v>
          </cell>
        </row>
        <row r="193">
          <cell r="H193">
            <v>0.99999999999991107</v>
          </cell>
        </row>
        <row r="194">
          <cell r="H194">
            <v>0.99999999999993228</v>
          </cell>
        </row>
        <row r="195">
          <cell r="H195">
            <v>0.99999999999994849</v>
          </cell>
        </row>
        <row r="196">
          <cell r="H196">
            <v>0.99999999999996081</v>
          </cell>
        </row>
        <row r="197">
          <cell r="H197">
            <v>0.99999999999997014</v>
          </cell>
        </row>
        <row r="198">
          <cell r="H198">
            <v>0.99999999999997724</v>
          </cell>
        </row>
        <row r="199">
          <cell r="H199">
            <v>0.99999999999998279</v>
          </cell>
        </row>
        <row r="200">
          <cell r="H200">
            <v>0.99999999999998679</v>
          </cell>
        </row>
        <row r="201">
          <cell r="H201">
            <v>0.99999999999999001</v>
          </cell>
        </row>
        <row r="202">
          <cell r="H202">
            <v>0.99999999999999245</v>
          </cell>
        </row>
        <row r="203">
          <cell r="H203">
            <v>0.99999999999999423</v>
          </cell>
        </row>
        <row r="204">
          <cell r="H204">
            <v>0.99999999999999567</v>
          </cell>
        </row>
        <row r="205">
          <cell r="H205">
            <v>0.99999999999999656</v>
          </cell>
        </row>
        <row r="206">
          <cell r="H206">
            <v>0.99999999999999756</v>
          </cell>
        </row>
        <row r="207">
          <cell r="H207">
            <v>0.999999999999998</v>
          </cell>
        </row>
        <row r="208">
          <cell r="H208">
            <v>0.99999999999999845</v>
          </cell>
        </row>
        <row r="209">
          <cell r="H209">
            <v>0.99999999999999878</v>
          </cell>
        </row>
        <row r="210">
          <cell r="H210">
            <v>0.99999999999999911</v>
          </cell>
        </row>
        <row r="211">
          <cell r="H211">
            <v>0.99999999999999933</v>
          </cell>
        </row>
        <row r="212">
          <cell r="H212">
            <v>0.99999999999999933</v>
          </cell>
        </row>
        <row r="213">
          <cell r="H213">
            <v>0.99999999999999944</v>
          </cell>
        </row>
        <row r="214">
          <cell r="H214">
            <v>0.99999999999999989</v>
          </cell>
        </row>
        <row r="215">
          <cell r="H215">
            <v>0.99999999999999978</v>
          </cell>
        </row>
        <row r="216">
          <cell r="H216">
            <v>0.99999999999999967</v>
          </cell>
        </row>
        <row r="217">
          <cell r="H217">
            <v>0.99999999999999989</v>
          </cell>
        </row>
        <row r="218">
          <cell r="H218">
            <v>0.99999999999999989</v>
          </cell>
        </row>
        <row r="219">
          <cell r="H219">
            <v>1</v>
          </cell>
        </row>
        <row r="220">
          <cell r="H220">
            <v>0.99999999999999978</v>
          </cell>
        </row>
        <row r="221">
          <cell r="H221">
            <v>0.99999999999999989</v>
          </cell>
        </row>
        <row r="222">
          <cell r="H222">
            <v>1</v>
          </cell>
        </row>
        <row r="223">
          <cell r="H223">
            <v>1</v>
          </cell>
        </row>
        <row r="224">
          <cell r="H224">
            <v>0.99999999999999989</v>
          </cell>
        </row>
        <row r="225">
          <cell r="H225">
            <v>0.99999999999999989</v>
          </cell>
        </row>
        <row r="226">
          <cell r="H226">
            <v>0.99999999999999989</v>
          </cell>
        </row>
        <row r="227">
          <cell r="H227">
            <v>0.99999999999999989</v>
          </cell>
        </row>
        <row r="228">
          <cell r="H228">
            <v>0.99999999999999989</v>
          </cell>
        </row>
        <row r="229">
          <cell r="H229">
            <v>0.99999999999999989</v>
          </cell>
        </row>
        <row r="230">
          <cell r="H230">
            <v>1</v>
          </cell>
        </row>
        <row r="231">
          <cell r="H231">
            <v>1</v>
          </cell>
        </row>
        <row r="232">
          <cell r="H232">
            <v>1</v>
          </cell>
        </row>
        <row r="233">
          <cell r="H233">
            <v>1</v>
          </cell>
        </row>
        <row r="234">
          <cell r="H234">
            <v>0.99999999999999989</v>
          </cell>
        </row>
        <row r="235">
          <cell r="H235">
            <v>1</v>
          </cell>
        </row>
        <row r="236">
          <cell r="H236">
            <v>0.99999999999999989</v>
          </cell>
        </row>
        <row r="237">
          <cell r="H237">
            <v>0.99999999999999989</v>
          </cell>
        </row>
        <row r="238">
          <cell r="H238">
            <v>1</v>
          </cell>
        </row>
        <row r="239">
          <cell r="H239">
            <v>1</v>
          </cell>
        </row>
        <row r="240">
          <cell r="H240">
            <v>1</v>
          </cell>
        </row>
        <row r="241">
          <cell r="H241">
            <v>1</v>
          </cell>
        </row>
        <row r="242">
          <cell r="H242">
            <v>1</v>
          </cell>
        </row>
        <row r="243">
          <cell r="H243">
            <v>1</v>
          </cell>
        </row>
        <row r="244">
          <cell r="H244">
            <v>0.99999999999999989</v>
          </cell>
        </row>
        <row r="245">
          <cell r="H245">
            <v>1</v>
          </cell>
        </row>
        <row r="246">
          <cell r="H246">
            <v>1</v>
          </cell>
        </row>
        <row r="247">
          <cell r="H247">
            <v>0.99999999999999989</v>
          </cell>
        </row>
        <row r="248">
          <cell r="H248">
            <v>1</v>
          </cell>
        </row>
        <row r="249">
          <cell r="H249">
            <v>1</v>
          </cell>
        </row>
        <row r="250">
          <cell r="H250">
            <v>1</v>
          </cell>
        </row>
        <row r="251">
          <cell r="H251">
            <v>1</v>
          </cell>
        </row>
        <row r="252">
          <cell r="H252">
            <v>1</v>
          </cell>
        </row>
        <row r="253">
          <cell r="H253">
            <v>1</v>
          </cell>
        </row>
        <row r="254">
          <cell r="H254">
            <v>1</v>
          </cell>
        </row>
        <row r="255">
          <cell r="H255">
            <v>1</v>
          </cell>
        </row>
        <row r="256">
          <cell r="H256">
            <v>0.99999999999999989</v>
          </cell>
        </row>
        <row r="257">
          <cell r="H257">
            <v>1</v>
          </cell>
        </row>
        <row r="258">
          <cell r="H258">
            <v>1</v>
          </cell>
        </row>
        <row r="259">
          <cell r="H259">
            <v>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 &amp; dq eqn (3)"/>
      <sheetName val="Selection  &amp; Migration (3)"/>
      <sheetName val="Selection  &amp; Migration"/>
      <sheetName val="B recessive"/>
      <sheetName val="B dominant"/>
    </sheetNames>
    <sheetDataSet>
      <sheetData sheetId="0">
        <row r="4">
          <cell r="A4">
            <v>0</v>
          </cell>
          <cell r="C4">
            <v>0</v>
          </cell>
          <cell r="H4">
            <v>0</v>
          </cell>
          <cell r="M4">
            <v>0</v>
          </cell>
          <cell r="R4">
            <v>0</v>
          </cell>
          <cell r="W4">
            <v>0</v>
          </cell>
        </row>
        <row r="5">
          <cell r="A5">
            <v>1</v>
          </cell>
          <cell r="C5">
            <v>0.01</v>
          </cell>
          <cell r="H5">
            <v>0.05</v>
          </cell>
          <cell r="M5">
            <v>0.1</v>
          </cell>
          <cell r="R5">
            <v>0.1</v>
          </cell>
          <cell r="W5">
            <v>0.25</v>
          </cell>
        </row>
        <row r="6">
          <cell r="A6">
            <v>2</v>
          </cell>
          <cell r="C6">
            <v>1.891E-2</v>
          </cell>
          <cell r="H6">
            <v>9.2749999999999999E-2</v>
          </cell>
          <cell r="M6">
            <v>0.18099999999999999</v>
          </cell>
          <cell r="R6">
            <v>0.18081632653061225</v>
          </cell>
          <cell r="W6">
            <v>0.41875000000000001</v>
          </cell>
        </row>
        <row r="7">
          <cell r="A7">
            <v>3</v>
          </cell>
          <cell r="C7">
            <v>2.6865658809999998E-2</v>
          </cell>
          <cell r="H7">
            <v>0.12969775625000002</v>
          </cell>
          <cell r="M7">
            <v>0.24807609999999999</v>
          </cell>
          <cell r="R7">
            <v>0.24736676098405824</v>
          </cell>
          <cell r="W7">
            <v>0.53972265625000004</v>
          </cell>
        </row>
        <row r="8">
          <cell r="A8">
            <v>4</v>
          </cell>
          <cell r="C8">
            <v>3.3982612703229532E-2</v>
          </cell>
          <cell r="H8">
            <v>0.16192524361012844</v>
          </cell>
          <cell r="M8">
            <v>0.30461505513912102</v>
          </cell>
          <cell r="R8">
            <v>0.30304342237865212</v>
          </cell>
          <cell r="W8">
            <v>0.62994978112945565</v>
          </cell>
        </row>
        <row r="9">
          <cell r="A9">
            <v>5</v>
          </cell>
          <cell r="C9">
            <v>4.0360007102488056E-2</v>
          </cell>
          <cell r="H9">
            <v>0.19025843552042912</v>
          </cell>
          <cell r="M9">
            <v>0.35297107729303778</v>
          </cell>
          <cell r="R9">
            <v>0.35025557374241112</v>
          </cell>
          <cell r="W9">
            <v>0.69915103040865112</v>
          </cell>
        </row>
        <row r="10">
          <cell r="A10">
            <v>6</v>
          </cell>
          <cell r="C10">
            <v>4.6083299338545658E-2</v>
          </cell>
          <cell r="H10">
            <v>0.21533949742103287</v>
          </cell>
          <cell r="M10">
            <v>0.39483571997497102</v>
          </cell>
          <cell r="R10">
            <v>0.39075806845640559</v>
          </cell>
          <cell r="W10">
            <v>0.75332938609777111</v>
          </cell>
        </row>
        <row r="11">
          <cell r="A11">
            <v>7</v>
          </cell>
          <cell r="C11">
            <v>5.1226503459098238E-2</v>
          </cell>
          <cell r="H11">
            <v>0.23767568272283224</v>
          </cell>
          <cell r="M11">
            <v>0.43145810055679218</v>
          </cell>
          <cell r="R11">
            <v>0.42585738585805116</v>
          </cell>
          <cell r="W11">
            <v>0.79641461735939567</v>
          </cell>
        </row>
        <row r="12">
          <cell r="A12">
            <v>8</v>
          </cell>
          <cell r="C12">
            <v>5.5854003544261933E-2</v>
          </cell>
          <cell r="H12">
            <v>0.25767330333018384</v>
          </cell>
          <cell r="M12">
            <v>0.46378208969904122</v>
          </cell>
          <cell r="R12">
            <v>0.45654501308158213</v>
          </cell>
          <cell r="W12">
            <v>0.83109712555797843</v>
          </cell>
        </row>
        <row r="13">
          <cell r="A13">
            <v>9</v>
          </cell>
          <cell r="C13">
            <v>6.0022030125585366E-2</v>
          </cell>
          <cell r="H13">
            <v>0.27566186095556516</v>
          </cell>
          <cell r="M13">
            <v>0.49253505443179391</v>
          </cell>
          <cell r="R13">
            <v>0.48358621748347419</v>
          </cell>
          <cell r="W13">
            <v>0.85928537482375944</v>
          </cell>
        </row>
        <row r="14">
          <cell r="A14">
            <v>10</v>
          </cell>
          <cell r="C14">
            <v>6.3779871221810641E-2</v>
          </cell>
          <cell r="H14">
            <v>0.29191152797077891</v>
          </cell>
          <cell r="M14">
            <v>0.51828712152984813</v>
          </cell>
          <cell r="R14">
            <v>0.50758059528642663</v>
          </cell>
          <cell r="W14">
            <v>0.88237262917404458</v>
          </cell>
        </row>
        <row r="15">
          <cell r="A15">
            <v>11</v>
          </cell>
          <cell r="C15">
            <v>6.7170872584718544E-2</v>
          </cell>
          <cell r="H15">
            <v>0.30664603279138553</v>
          </cell>
          <cell r="M15">
            <v>0.54149185125824806</v>
          </cell>
          <cell r="R15">
            <v>0.52900428104264574</v>
          </cell>
          <cell r="W15">
            <v>0.9014003546346806</v>
          </cell>
        </row>
        <row r="16">
          <cell r="A16">
            <v>12</v>
          </cell>
          <cell r="C16">
            <v>7.0233269212778754E-2</v>
          </cell>
          <cell r="H16">
            <v>0.32005230681534724</v>
          </cell>
          <cell r="M16">
            <v>0.56251482350450688</v>
          </cell>
          <cell r="R16">
            <v>0.54823995333490494</v>
          </cell>
          <cell r="W16">
            <v>0.91716249044609521</v>
          </cell>
        </row>
        <row r="17">
          <cell r="A17">
            <v>13</v>
          </cell>
          <cell r="C17">
            <v>7.3000880809804561E-2</v>
          </cell>
          <cell r="H17">
            <v>0.3322878087028277</v>
          </cell>
          <cell r="M17">
            <v>0.58165415146983612</v>
          </cell>
          <cell r="R17">
            <v>0.56559854373087404</v>
          </cell>
          <cell r="W17">
            <v>0.93027432217809025</v>
          </cell>
        </row>
        <row r="18">
          <cell r="A18">
            <v>14</v>
          </cell>
          <cell r="C18">
            <v>7.5503696780626794E-2</v>
          </cell>
          <cell r="H18">
            <v>0.34348615617865624</v>
          </cell>
          <cell r="M18">
            <v>0.59915547636807842</v>
          </cell>
          <cell r="R18">
            <v>0.58133519504368536</v>
          </cell>
          <cell r="W18">
            <v>0.94121934086614922</v>
          </cell>
        </row>
        <row r="19">
          <cell r="A19">
            <v>15</v>
          </cell>
          <cell r="C19">
            <v>7.7768370957511934E-2</v>
          </cell>
          <cell r="H19">
            <v>0.35376150670049661</v>
          </cell>
          <cell r="M19">
            <v>0.61522310958064863</v>
          </cell>
          <cell r="R19">
            <v>0.5956611631005585</v>
          </cell>
          <cell r="W19">
            <v>0.95038195632504785</v>
          </cell>
        </row>
        <row r="20">
          <cell r="A20">
            <v>16</v>
          </cell>
          <cell r="C20">
            <v>7.9818642104324142E-2</v>
          </cell>
          <cell r="H20">
            <v>0.36321200105772267</v>
          </cell>
          <cell r="M20">
            <v>0.63002843512072715</v>
          </cell>
          <cell r="R20">
            <v>0.60875281100968326</v>
          </cell>
          <cell r="W20">
            <v>0.95807085790210356</v>
          </cell>
        </row>
        <row r="21">
          <cell r="A21">
            <v>17</v>
          </cell>
          <cell r="C21">
            <v>8.1675693035586305E-2</v>
          </cell>
          <cell r="H21">
            <v>0.37192249667029975</v>
          </cell>
          <cell r="M21">
            <v>0.64371633100264891</v>
          </cell>
          <cell r="R21">
            <v>0.6207584887972698</v>
          </cell>
          <cell r="W21">
            <v>0.96453603451249459</v>
          </cell>
        </row>
        <row r="22">
          <cell r="A22">
            <v>18</v>
          </cell>
          <cell r="C22">
            <v>8.3358458684956144E-2</v>
          </cell>
          <cell r="H22">
            <v>0.37996675652270168</v>
          </cell>
          <cell r="M22">
            <v>0.65641013628207034</v>
          </cell>
          <cell r="R22">
            <v>0.63180385431264208</v>
          </cell>
          <cell r="W22">
            <v>0.96998139862043031</v>
          </cell>
        </row>
        <row r="23">
          <cell r="A23">
            <v>19</v>
          </cell>
          <cell r="C23">
            <v>8.4883891493044122E-2</v>
          </cell>
          <cell r="H23">
            <v>0.38740921665053463</v>
          </cell>
          <cell r="M23">
            <v>0.66821553572704095</v>
          </cell>
          <cell r="R23">
            <v>0.64199603089212909</v>
          </cell>
          <cell r="W23">
            <v>0.97457430047024429</v>
          </cell>
        </row>
        <row r="24">
          <cell r="A24">
            <v>20</v>
          </cell>
          <cell r="C24">
            <v>8.6267190932309556E-2</v>
          </cell>
          <cell r="H24">
            <v>0.39430642426753248</v>
          </cell>
          <cell r="M24">
            <v>0.67922362880033038</v>
          </cell>
          <cell r="R24">
            <v>0.65142688697182649</v>
          </cell>
          <cell r="W24">
            <v>0.97845280201936546</v>
          </cell>
        </row>
        <row r="25">
          <cell r="A25">
            <v>21</v>
          </cell>
          <cell r="C25">
            <v>8.7522002752890654E-2</v>
          </cell>
          <cell r="H25">
            <v>0.40070821624926733</v>
          </cell>
          <cell r="M25">
            <v>0.68951337683233316</v>
          </cell>
          <cell r="R25">
            <v>0.66017564588285715</v>
          </cell>
          <cell r="W25">
            <v>0.98173130989054236</v>
          </cell>
        </row>
        <row r="26">
          <cell r="A26">
            <v>22</v>
          </cell>
          <cell r="C26">
            <v>8.866059254666038E-2</v>
          </cell>
          <cell r="H26">
            <v>0.40665869126884419</v>
          </cell>
          <cell r="M26">
            <v>0.69915357114893928</v>
          </cell>
          <cell r="R26">
            <v>0.66831097964249919</v>
          </cell>
          <cell r="W26">
            <v>0.98450498791079255</v>
          </cell>
        </row>
        <row r="27">
          <cell r="A27">
            <v>23</v>
          </cell>
          <cell r="C27">
            <v>8.9693997433600237E-2</v>
          </cell>
          <cell r="H27">
            <v>0.41219701669696646</v>
          </cell>
          <cell r="M27">
            <v>0.70820442852418286</v>
          </cell>
          <cell r="R27">
            <v>0.67589270158637282</v>
          </cell>
          <cell r="W27">
            <v>0.9868532492641382</v>
          </cell>
        </row>
        <row r="28">
          <cell r="A28">
            <v>24</v>
          </cell>
          <cell r="C28">
            <v>9.0632159033466081E-2</v>
          </cell>
          <cell r="H28">
            <v>0.4173581022498094</v>
          </cell>
          <cell r="M28">
            <v>0.71671889407747269</v>
          </cell>
          <cell r="R28">
            <v>0.68297314445624735</v>
          </cell>
          <cell r="W28">
            <v>0.98884254558000861</v>
          </cell>
        </row>
        <row r="29">
          <cell r="A29">
            <v>25</v>
          </cell>
          <cell r="C29">
            <v>9.1484040364891564E-2</v>
          </cell>
          <cell r="H29">
            <v>0.42217316546369421</v>
          </cell>
          <cell r="M29">
            <v>0.72474371257474168</v>
          </cell>
          <cell r="R29">
            <v>0.68959828988254279</v>
          </cell>
          <cell r="W29">
            <v>0.99052861262192082</v>
          </cell>
        </row>
        <row r="30">
          <cell r="A30">
            <v>26</v>
          </cell>
          <cell r="C30">
            <v>9.2257728888902005E-2</v>
          </cell>
          <cell r="H30">
            <v>0.42667020880790363</v>
          </cell>
          <cell r="M30">
            <v>0.73232031495145533</v>
          </cell>
          <cell r="R30">
            <v>0.6958086999034292</v>
          </cell>
          <cell r="W30">
            <v>0.99195829144651926</v>
          </cell>
        </row>
        <row r="31">
          <cell r="A31">
            <v>27</v>
          </cell>
          <cell r="C31">
            <v>9.2960527565096596E-2</v>
          </cell>
          <cell r="H31">
            <v>0.43087442419513611</v>
          </cell>
          <cell r="M31">
            <v>0.73948555633022417</v>
          </cell>
          <cell r="R31">
            <v>0.70164028973598258</v>
          </cell>
          <cell r="W31">
            <v>0.99317101463718727</v>
          </cell>
        </row>
        <row r="32">
          <cell r="A32">
            <v>28</v>
          </cell>
          <cell r="C32">
            <v>9.3599035501454084E-2</v>
          </cell>
          <cell r="H32">
            <v>0.43480853750841469</v>
          </cell>
          <cell r="M32">
            <v>0.74627233386628145</v>
          </cell>
          <cell r="R32">
            <v>0.70712497240286143</v>
          </cell>
          <cell r="W32">
            <v>0.99420002594571777</v>
          </cell>
        </row>
        <row r="33">
          <cell r="A33">
            <v>29</v>
          </cell>
          <cell r="C33">
            <v>9.4179219540974385E-2</v>
          </cell>
          <cell r="H33">
            <v>0.43849310331117314</v>
          </cell>
          <cell r="M33">
            <v>0.75271010672244787</v>
          </cell>
          <cell r="R33">
            <v>0.71229119927220375</v>
          </cell>
          <cell r="W33">
            <v>0.99507338602376316</v>
          </cell>
        </row>
        <row r="34">
          <cell r="A34">
            <v>30</v>
          </cell>
          <cell r="C34">
            <v>9.4706477930801905E-2</v>
          </cell>
          <cell r="H34">
            <v>0.44194675797964345</v>
          </cell>
          <cell r="M34">
            <v>0.75882533585417022</v>
          </cell>
          <cell r="R34">
            <v>0.71716441555345156</v>
          </cell>
          <cell r="W34">
            <v>0.99581480527272581</v>
          </cell>
        </row>
        <row r="35">
          <cell r="A35">
            <v>31</v>
          </cell>
          <cell r="C35">
            <v>9.5185697054619448E-2</v>
          </cell>
          <cell r="H35">
            <v>0.44518643797156865</v>
          </cell>
          <cell r="M35">
            <v>0.76464185771675564</v>
          </cell>
          <cell r="R35">
            <v>0.72176744592063879</v>
          </cell>
          <cell r="W35">
            <v>0.99644433606730742</v>
          </cell>
        </row>
        <row r="36">
          <cell r="A36">
            <v>32</v>
          </cell>
          <cell r="C36">
            <v>9.5621302070988692E-2</v>
          </cell>
          <cell r="H36">
            <v>0.44822756873121467</v>
          </cell>
          <cell r="M36">
            <v>0.77018120323065764</v>
          </cell>
          <cell r="R36">
            <v>0.72612082242515341</v>
          </cell>
          <cell r="W36">
            <v>0.99697894993181158</v>
          </cell>
        </row>
        <row r="37">
          <cell r="A37">
            <v>33</v>
          </cell>
          <cell r="C37">
            <v>9.6017302184155065E-2</v>
          </cell>
          <cell r="H37">
            <v>0.45108422875860205</v>
          </cell>
          <cell r="M37">
            <v>0.77546287116550849</v>
          </cell>
          <cell r="R37">
            <v>0.73024306450452758</v>
          </cell>
          <cell r="W37">
            <v>0.99743302011639123</v>
          </cell>
        </row>
        <row r="38">
          <cell r="A38">
            <v>34</v>
          </cell>
          <cell r="C38">
            <v>9.6377331175770339E-2</v>
          </cell>
          <cell r="H38">
            <v>0.45376929258828602</v>
          </cell>
          <cell r="M38">
            <v>0.7805045633880322</v>
          </cell>
          <cell r="R38">
            <v>0.73415091903846763</v>
          </cell>
          <cell r="W38">
            <v>0.99781872603750488</v>
          </cell>
        </row>
        <row r="39">
          <cell r="A39">
            <v>35</v>
          </cell>
          <cell r="C39">
            <v>9.6704683742892011E-2</v>
          </cell>
          <cell r="H39">
            <v>0.45629455578965045</v>
          </cell>
          <cell r="M39">
            <v>0.78532238805738008</v>
          </cell>
          <cell r="R39">
            <v>0.73785956693304711</v>
          </cell>
          <cell r="W39">
            <v>0.99814639292748908</v>
          </cell>
        </row>
        <row r="40">
          <cell r="A40">
            <v>36</v>
          </cell>
          <cell r="C40">
            <v>9.700234811695517E-2</v>
          </cell>
          <cell r="H40">
            <v>0.45867084458553031</v>
          </cell>
          <cell r="M40">
            <v>0.78993103576431867</v>
          </cell>
          <cell r="R40">
            <v>0.74138280154209935</v>
          </cell>
          <cell r="W40">
            <v>0.99842477757428361</v>
          </cell>
        </row>
        <row r="41">
          <cell r="A41">
            <v>37</v>
          </cell>
          <cell r="C41">
            <v>9.7273035378110398E-2</v>
          </cell>
          <cell r="H41">
            <v>0.46090811226498113</v>
          </cell>
          <cell r="M41">
            <v>0.79434393273782389</v>
          </cell>
          <cell r="R41">
            <v>0.74473318329566585</v>
          </cell>
          <cell r="W41">
            <v>0.99866130907071016</v>
          </cell>
        </row>
        <row r="42">
          <cell r="A42">
            <v>38</v>
          </cell>
          <cell r="C42">
            <v>9.7519205827685362E-2</v>
          </cell>
          <cell r="H42">
            <v>0.46301552422040082</v>
          </cell>
          <cell r="M42">
            <v>0.79857337453799837</v>
          </cell>
          <cell r="R42">
            <v>0.74792217414872231</v>
          </cell>
          <cell r="W42">
            <v>0.99886229191944409</v>
          </cell>
        </row>
        <row r="43">
          <cell r="A43">
            <v>39</v>
          </cell>
          <cell r="C43">
            <v>9.7743092737166221E-2</v>
          </cell>
          <cell r="H43">
            <v>0.46500153315424997</v>
          </cell>
          <cell r="M43">
            <v>0.80263064308249932</v>
          </cell>
          <cell r="R43">
            <v>0.75096025485079188</v>
          </cell>
          <cell r="W43">
            <v>0.99903307756949511</v>
          </cell>
        </row>
        <row r="44">
          <cell r="A44">
            <v>40</v>
          </cell>
          <cell r="C44">
            <v>9.7946723753860571E-2</v>
          </cell>
          <cell r="H44">
            <v>0.46687394576469277</v>
          </cell>
          <cell r="M44">
            <v>0.80652610938750213</v>
          </cell>
          <cell r="R44">
            <v>0.75385702753867279</v>
          </cell>
          <cell r="W44">
            <v>0.99917820942796953</v>
          </cell>
        </row>
        <row r="45">
          <cell r="A45">
            <v>41</v>
          </cell>
          <cell r="C45">
            <v>9.8131940210347421E-2</v>
          </cell>
          <cell r="H45">
            <v>0.4686399820233782</v>
          </cell>
          <cell r="M45">
            <v>0.81026932402237584</v>
          </cell>
          <cell r="R45">
            <v>0.75662130574721409</v>
          </cell>
          <cell r="W45">
            <v>0.99930154554774853</v>
          </cell>
        </row>
        <row r="46">
          <cell r="A46">
            <v>42</v>
          </cell>
          <cell r="C46">
            <v>9.8300414556153931E-2</v>
          </cell>
          <cell r="H46">
            <v>0.4703063279949587</v>
          </cell>
          <cell r="M46">
            <v>0.81386909696306842</v>
          </cell>
          <cell r="R46">
            <v>0.75926119359875277</v>
          </cell>
          <cell r="W46">
            <v>0.99940636249944848</v>
          </cell>
        </row>
        <row r="47">
          <cell r="A47">
            <v>43</v>
          </cell>
          <cell r="C47">
            <v>9.8453666105168175E-2</v>
          </cell>
          <cell r="H47">
            <v>0.47187918301092507</v>
          </cell>
          <cell r="M47">
            <v>0.81733356826960279</v>
          </cell>
          <cell r="R47">
            <v>0.76178415565626589</v>
          </cell>
          <cell r="W47">
            <v>0.99949544336507945</v>
          </cell>
        </row>
        <row r="48">
          <cell r="A48">
            <v>44</v>
          </cell>
          <cell r="C48">
            <v>9.859307527055447E-2</v>
          </cell>
          <cell r="H48">
            <v>0.47336430189519213</v>
          </cell>
          <cell r="M48">
            <v>0.82067027079771437</v>
          </cell>
          <cell r="R48">
            <v>0.7641970786972464</v>
          </cell>
          <cell r="W48">
            <v>0.99957115231805738</v>
          </cell>
        </row>
        <row r="49">
          <cell r="A49">
            <v>45</v>
          </cell>
          <cell r="C49">
            <v>9.8719896439924001E-2</v>
          </cell>
          <cell r="H49">
            <v>0.47476703284178556</v>
          </cell>
          <cell r="M49">
            <v>0.82388618597529084</v>
          </cell>
          <cell r="R49">
            <v>0.76650632647586203</v>
          </cell>
          <cell r="W49">
            <v>0.99963549786138217</v>
          </cell>
        </row>
        <row r="50">
          <cell r="A50">
            <v>46</v>
          </cell>
          <cell r="C50">
            <v>9.8835269626843289E-2</v>
          </cell>
          <cell r="H50">
            <v>0.47609235146285706</v>
          </cell>
          <cell r="M50">
            <v>0.82698779352432383</v>
          </cell>
          <cell r="R50">
            <v>0.76871778838298965</v>
          </cell>
          <cell r="W50">
            <v>0.99969018646835583</v>
          </cell>
        </row>
        <row r="51">
          <cell r="A51">
            <v>47</v>
          </cell>
          <cell r="C51">
            <v>9.894023102011161E-2</v>
          </cell>
          <cell r="H51">
            <v>0.47734489145557174</v>
          </cell>
          <cell r="M51">
            <v>0.82998111588328205</v>
          </cell>
          <cell r="R51">
            <v>0.77083692278153071</v>
          </cell>
          <cell r="W51">
            <v>0.99973666809654493</v>
          </cell>
        </row>
        <row r="52">
          <cell r="A52">
            <v>48</v>
          </cell>
          <cell r="C52">
            <v>9.9035722539330642E-2</v>
          </cell>
          <cell r="H52">
            <v>0.47852897227710911</v>
          </cell>
          <cell r="M52">
            <v>0.83287175797891144</v>
          </cell>
          <cell r="R52">
            <v>0.77286879568342592</v>
          </cell>
          <cell r="W52">
            <v>0.99977617481643233</v>
          </cell>
        </row>
        <row r="53">
          <cell r="A53">
            <v>49</v>
          </cell>
          <cell r="C53">
            <v>9.9122600493893001E-2</v>
          </cell>
          <cell r="H53">
            <v>0.47964862416640136</v>
          </cell>
          <cell r="M53">
            <v>0.83566494290701743</v>
          </cell>
          <cell r="R53">
            <v>0.77481811534128431</v>
          </cell>
          <cell r="W53">
            <v>0.9998097536037388</v>
          </cell>
        </row>
        <row r="54">
          <cell r="A54">
            <v>50</v>
          </cell>
          <cell r="C54">
            <v>9.9201643432431957E-2</v>
          </cell>
          <cell r="H54">
            <v>0.4807076108079133</v>
          </cell>
          <cell r="M54">
            <v>0.83836554400599284</v>
          </cell>
          <cell r="R54">
            <v>0.77668926324852705</v>
          </cell>
          <cell r="W54">
            <v>0.99983829418254722</v>
          </cell>
        </row>
        <row r="55">
          <cell r="A55">
            <v>51</v>
          </cell>
          <cell r="C55">
            <v>9.9273559260833977E-2</v>
          </cell>
          <cell r="H55">
            <v>0.4817094498955915</v>
          </cell>
          <cell r="M55">
            <v>0.84097811374244069</v>
          </cell>
          <cell r="R55">
            <v>0.77848632197496637</v>
          </cell>
          <cell r="W55">
            <v>0.99986255267004231</v>
          </cell>
        </row>
        <row r="56">
          <cell r="A56">
            <v>52</v>
          </cell>
          <cell r="C56">
            <v>9.9338991698973672E-2</v>
          </cell>
          <cell r="H56">
            <v>0.48265743182312409</v>
          </cell>
          <cell r="M56">
            <v>0.84350690977333187</v>
          </cell>
          <cell r="R56">
            <v>0.78021310020779533</v>
          </cell>
          <cell r="W56">
            <v>0.99988317165871288</v>
          </cell>
        </row>
        <row r="57">
          <cell r="A57">
            <v>53</v>
          </cell>
          <cell r="C57">
            <v>9.9398526139263449E-2</v>
          </cell>
          <cell r="H57">
            <v>0.48355463669906484</v>
          </cell>
          <cell r="M57">
            <v>0.84595591850220109</v>
          </cell>
          <cell r="R57">
            <v>0.78187315531941382</v>
          </cell>
          <cell r="W57">
            <v>0.99990069727479214</v>
          </cell>
        </row>
        <row r="58">
          <cell r="A58">
            <v>54</v>
          </cell>
          <cell r="C58">
            <v>9.9452694963810248E-2</v>
          </cell>
          <cell r="H58">
            <v>0.48440394986152158</v>
          </cell>
          <cell r="M58">
            <v>0.84832887640665111</v>
          </cell>
          <cell r="R58">
            <v>0.78346981374200719</v>
          </cell>
          <cell r="W58">
            <v>0.99991559366967642</v>
          </cell>
        </row>
        <row r="59">
          <cell r="A59">
            <v>55</v>
          </cell>
          <cell r="C59">
            <v>9.9501982371347594E-2</v>
          </cell>
          <cell r="H59">
            <v>0.48520807604643768</v>
          </cell>
          <cell r="M59">
            <v>0.85062928937985804</v>
          </cell>
          <cell r="R59">
            <v>0.78500618939321587</v>
          </cell>
          <cell r="W59">
            <v>0.99992825533166785</v>
          </cell>
        </row>
        <row r="60">
          <cell r="A60">
            <v>56</v>
          </cell>
          <cell r="C60">
            <v>9.9546828760082154E-2</v>
          </cell>
          <cell r="H60">
            <v>0.48596955234554057</v>
          </cell>
          <cell r="M60">
            <v>0.85286045029897462</v>
          </cell>
          <cell r="R60">
            <v>0.78648520036665304</v>
          </cell>
          <cell r="W60">
            <v>0.99993901754664738</v>
          </cell>
        </row>
        <row r="61">
          <cell r="A61">
            <v>57</v>
          </cell>
          <cell r="C61">
            <v>9.9587634708092024E-2</v>
          </cell>
          <cell r="H61">
            <v>0.48669076007440198</v>
          </cell>
          <cell r="M61">
            <v>0.85502545500759664</v>
          </cell>
          <cell r="R61">
            <v>0.78790958407468425</v>
          </cell>
          <cell r="W61">
            <v>0.99994816528653629</v>
          </cell>
        </row>
        <row r="62">
          <cell r="A62">
            <v>58</v>
          </cell>
          <cell r="C62">
            <v>9.9624764588877146E-2</v>
          </cell>
          <cell r="H62">
            <v>0.4873739356574216</v>
          </cell>
          <cell r="M62">
            <v>0.85712721687717208</v>
          </cell>
          <cell r="R62">
            <v>0.78928191100813228</v>
          </cell>
          <cell r="W62">
            <v>0.99995594076223959</v>
          </cell>
        </row>
        <row r="63">
          <cell r="A63">
            <v>59</v>
          </cell>
          <cell r="C63">
            <v>9.9658549856039585E-2</v>
          </cell>
          <cell r="H63">
            <v>0.48802118062462879</v>
          </cell>
          <cell r="M63">
            <v>0.85916848009289837</v>
          </cell>
          <cell r="R63">
            <v>0.79060459725787302</v>
          </cell>
          <cell r="W63">
            <v>0.99996254984202526</v>
          </cell>
        </row>
        <row r="64">
          <cell r="A64">
            <v>60</v>
          </cell>
          <cell r="C64">
            <v>9.9689292027816109E-2</v>
          </cell>
          <cell r="H64">
            <v>0.48863447080476013</v>
          </cell>
          <cell r="M64">
            <v>0.86115183179283283</v>
          </cell>
          <cell r="R64">
            <v>0.79187991592620544</v>
          </cell>
          <cell r="W64">
            <v>0.99996816750597295</v>
          </cell>
        </row>
        <row r="65">
          <cell r="A65">
            <v>61</v>
          </cell>
          <cell r="C65">
            <v>9.9717265399257057E-2</v>
          </cell>
          <cell r="H65">
            <v>0.48921566478991091</v>
          </cell>
          <cell r="M65">
            <v>0.86307971317428145</v>
          </cell>
          <cell r="R65">
            <v>0.79311000754101968</v>
          </cell>
          <cell r="W65">
            <v>0.99997294248140778</v>
          </cell>
        </row>
        <row r="66">
          <cell r="A66">
            <v>62</v>
          </cell>
          <cell r="C66">
            <v>9.9742719507209365E-2</v>
          </cell>
          <cell r="H66">
            <v>0.4897665117390077</v>
          </cell>
          <cell r="M66">
            <v>0.86495442966872516</v>
          </cell>
          <cell r="R66">
            <v>0.79429688957284328</v>
          </cell>
          <cell r="W66">
            <v>0.99997700118240762</v>
          </cell>
        </row>
        <row r="67">
          <cell r="A67">
            <v>63</v>
          </cell>
          <cell r="C67">
            <v>9.9765881370885726E-2</v>
          </cell>
          <cell r="H67">
            <v>0.49028865858025611</v>
          </cell>
          <cell r="M67">
            <v>0.86677816027533505</v>
          </cell>
          <cell r="R67">
            <v>0.79544246514354477</v>
          </cell>
          <cell r="W67">
            <v>0.99998045105794109</v>
          </cell>
        </row>
        <row r="68">
          <cell r="A68">
            <v>64</v>
          </cell>
          <cell r="C68">
            <v>9.9786957528659265E-2</v>
          </cell>
          <cell r="H68">
            <v>0.4907836566664604</v>
          </cell>
          <cell r="M68">
            <v>0.86855296613329747</v>
          </cell>
          <cell r="R68">
            <v>0.79654853100558398</v>
          </cell>
          <cell r="W68">
            <v>0.99998338343746607</v>
          </cell>
        </row>
        <row r="69">
          <cell r="A69">
            <v>65</v>
          </cell>
          <cell r="C69">
            <v>9.9806135889789385E-2</v>
          </cell>
          <cell r="H69">
            <v>0.49125296793158152</v>
          </cell>
          <cell r="M69">
            <v>0.87028079840453287</v>
          </cell>
          <cell r="R69">
            <v>0.79761678486203302</v>
          </cell>
          <cell r="W69">
            <v>0.9999858759494572</v>
          </cell>
        </row>
        <row r="70">
          <cell r="A70">
            <v>66</v>
          </cell>
          <cell r="C70">
            <v>9.9823587418037665E-2</v>
          </cell>
          <cell r="H70">
            <v>0.49169797059200304</v>
          </cell>
          <cell r="M70">
            <v>0.87196350553078938</v>
          </cell>
          <cell r="R70">
            <v>0.79864883208997939</v>
          </cell>
          <cell r="W70">
            <v>0.9999879945769875</v>
          </cell>
        </row>
        <row r="71">
          <cell r="A71">
            <v>67</v>
          </cell>
          <cell r="C71">
            <v>9.9839467662554179E-2</v>
          </cell>
          <cell r="H71">
            <v>0.49211996443163203</v>
          </cell>
          <cell r="M71">
            <v>0.87360283992238585</v>
          </cell>
          <cell r="R71">
            <v>0.79964619192322561</v>
          </cell>
          <cell r="W71">
            <v>0.99998979540485244</v>
          </cell>
        </row>
        <row r="72">
          <cell r="A72">
            <v>68</v>
          </cell>
          <cell r="C72">
            <v>9.9853918149987439E-2</v>
          </cell>
          <cell r="H72">
            <v>0.49252017570610629</v>
          </cell>
          <cell r="M72">
            <v>0.87520046412995445</v>
          </cell>
          <cell r="R72">
            <v>0.80061030314429815</v>
          </cell>
          <cell r="W72">
            <v>0.999991326104538</v>
          </cell>
        </row>
        <row r="73">
          <cell r="A73">
            <v>69</v>
          </cell>
          <cell r="C73">
            <v>9.9867067650479258E-2</v>
          </cell>
          <cell r="H73">
            <v>0.49289976169794775</v>
          </cell>
          <cell r="M73">
            <v>0.87675795654529232</v>
          </cell>
          <cell r="R73">
            <v>0.80154252933056669</v>
          </cell>
          <cell r="W73">
            <v>0.99999262719638105</v>
          </cell>
        </row>
        <row r="74">
          <cell r="A74">
            <v>70</v>
          </cell>
          <cell r="C74">
            <v>9.9879033329037081E-2</v>
          </cell>
          <cell r="H74">
            <v>0.49325981495144494</v>
          </cell>
          <cell r="M74">
            <v>0.87827681667278157</v>
          </cell>
          <cell r="R74">
            <v>0.80244416369466531</v>
          </cell>
          <cell r="W74">
            <v>0.99999373312235973</v>
          </cell>
        </row>
        <row r="75">
          <cell r="A75">
            <v>71</v>
          </cell>
          <cell r="C75">
            <v>9.9889921792717287E-2</v>
          </cell>
          <cell r="H75">
            <v>0.4936013672133216</v>
          </cell>
          <cell r="M75">
            <v>0.87975847000871277</v>
          </cell>
          <cell r="R75">
            <v>0.80331643355532534</v>
          </cell>
          <cell r="W75">
            <v>0.99999467315793322</v>
          </cell>
        </row>
        <row r="76">
          <cell r="A76">
            <v>72</v>
          </cell>
          <cell r="C76">
            <v>9.9899830043093898E-2</v>
          </cell>
          <cell r="H76">
            <v>0.49392539310280936</v>
          </cell>
          <cell r="M76">
            <v>0.88120427256217737</v>
          </cell>
          <cell r="R76">
            <v>0.80416050447110599</v>
          </cell>
          <cell r="W76">
            <v>0.99999547218708074</v>
          </cell>
        </row>
        <row r="77">
          <cell r="A77">
            <v>73</v>
          </cell>
          <cell r="C77">
            <v>9.9908846342617472E-2</v>
          </cell>
          <cell r="H77">
            <v>0.49423281353256443</v>
          </cell>
          <cell r="M77">
            <v>0.88261551504792557</v>
          </cell>
          <cell r="R77">
            <v>0.80497748406629077</v>
          </cell>
          <cell r="W77">
            <v>0.99999615136106867</v>
          </cell>
        </row>
        <row r="78">
          <cell r="A78">
            <v>74</v>
          </cell>
          <cell r="C78">
            <v>9.9917051002680821E-2</v>
          </cell>
          <cell r="H78">
            <v>0.49452449889991124</v>
          </cell>
          <cell r="M78">
            <v>0.88399342677867199</v>
          </cell>
          <cell r="R78">
            <v>0.80576842557535178</v>
          </cell>
          <cell r="W78">
            <v>0.99999672865838962</v>
          </cell>
        </row>
        <row r="79">
          <cell r="A79">
            <v>75</v>
          </cell>
          <cell r="C79">
            <v>9.992451710049316E-2</v>
          </cell>
          <cell r="H79">
            <v>0.49480127206614538</v>
          </cell>
          <cell r="M79">
            <v>0.88533917928172756</v>
          </cell>
          <cell r="R79">
            <v>0.80653433112983053</v>
          </cell>
          <cell r="W79">
            <v>0.99999721936070141</v>
          </cell>
        </row>
        <row r="80">
          <cell r="A80">
            <v>76</v>
          </cell>
          <cell r="C80">
            <v>9.9931311131215589E-2</v>
          </cell>
          <cell r="H80">
            <v>0.4950639111400511</v>
          </cell>
          <cell r="M80">
            <v>0.88665388966250636</v>
          </cell>
          <cell r="R80">
            <v>0.80727615480920512</v>
          </cell>
          <cell r="W80">
            <v>0.9999976364573695</v>
          </cell>
        </row>
        <row r="81">
          <cell r="A81">
            <v>77</v>
          </cell>
          <cell r="C81">
            <v>9.9937493601222255E-2</v>
          </cell>
          <cell r="H81">
            <v>0.49531315208037185</v>
          </cell>
          <cell r="M81">
            <v>0.88793862373537025</v>
          </cell>
          <cell r="R81">
            <v>0.80799480547527558</v>
          </cell>
          <cell r="W81">
            <v>0.99999799098932274</v>
          </cell>
        </row>
        <row r="82">
          <cell r="A82">
            <v>78</v>
          </cell>
          <cell r="C82">
            <v>9.9943119567817235E-2</v>
          </cell>
          <cell r="H82">
            <v>0.49554969113069541</v>
          </cell>
          <cell r="M82">
            <v>0.88919439894040253</v>
          </cell>
          <cell r="R82">
            <v>0.80869114940777509</v>
          </cell>
          <cell r="W82">
            <v>0.99999829234132798</v>
          </cell>
        </row>
        <row r="83">
          <cell r="A83">
            <v>79</v>
          </cell>
          <cell r="C83">
            <v>9.994823913025204E-2</v>
          </cell>
          <cell r="H83">
            <v>0.49577418709906385</v>
          </cell>
          <cell r="M83">
            <v>0.89042218706302045</v>
          </cell>
          <cell r="R83">
            <v>0.80936601275728193</v>
          </cell>
          <cell r="W83">
            <v>0.99999854849042047</v>
          </cell>
        </row>
        <row r="84">
          <cell r="A84">
            <v>80</v>
          </cell>
          <cell r="C84">
            <v>9.9952897876448121E-2</v>
          </cell>
          <cell r="H84">
            <v>0.49598726349357802</v>
          </cell>
          <cell r="M84">
            <v>0.89162291677182559</v>
          </cell>
          <cell r="R84">
            <v>0.81002018383003793</v>
          </cell>
          <cell r="W84">
            <v>0.99999876621706818</v>
          </cell>
        </row>
        <row r="85">
          <cell r="A85">
            <v>81</v>
          </cell>
          <cell r="C85">
            <v>9.9957137289428788E-2</v>
          </cell>
          <cell r="H85">
            <v>0.49618951052432614</v>
          </cell>
          <cell r="M85">
            <v>0.89279747598873027</v>
          </cell>
          <cell r="R85">
            <v>0.810654415217963</v>
          </cell>
          <cell r="W85">
            <v>0.99999895128466021</v>
          </cell>
        </row>
        <row r="86">
          <cell r="A86">
            <v>82</v>
          </cell>
          <cell r="C86">
            <v>9.9960995117101395E-2</v>
          </cell>
          <cell r="H86">
            <v>0.49638148698111428</v>
          </cell>
          <cell r="M86">
            <v>0.89394671410416893</v>
          </cell>
          <cell r="R86">
            <v>0.81126942578596828</v>
          </cell>
          <cell r="W86">
            <v>0.9999991085920712</v>
          </cell>
        </row>
        <row r="87">
          <cell r="A87">
            <v>83</v>
          </cell>
          <cell r="C87">
            <v>9.9964505708700357E-2</v>
          </cell>
          <cell r="H87">
            <v>0.49656372199570536</v>
          </cell>
          <cell r="M87">
            <v>0.89507144404909922</v>
          </cell>
          <cell r="R87">
            <v>0.81186590252760271</v>
          </cell>
          <cell r="W87">
            <v>0.99999924230333992</v>
          </cell>
        </row>
        <row r="88">
          <cell r="A88">
            <v>84</v>
          </cell>
          <cell r="C88">
            <v>9.9967700320901798E-2</v>
          </cell>
          <cell r="H88">
            <v>0.49673671669657238</v>
          </cell>
          <cell r="M88">
            <v>0.89617244423449338</v>
          </cell>
          <cell r="R88">
            <v>0.81244450229910359</v>
          </cell>
          <cell r="W88">
            <v>0.99999935595789635</v>
          </cell>
        </row>
        <row r="89">
          <cell r="A89">
            <v>85</v>
          </cell>
          <cell r="C89">
            <v>9.9970607396347569E-2</v>
          </cell>
          <cell r="H89">
            <v>0.49690094576353561</v>
          </cell>
          <cell r="M89">
            <v>0.89725046036811729</v>
          </cell>
          <cell r="R89">
            <v>0.81300585344105247</v>
          </cell>
          <cell r="W89">
            <v>0.99999945256425338</v>
          </cell>
        </row>
        <row r="90">
          <cell r="A90">
            <v>86</v>
          </cell>
          <cell r="C90">
            <v>9.99732528170688E-2</v>
          </cell>
          <cell r="H90">
            <v>0.49705685888907486</v>
          </cell>
          <cell r="M90">
            <v>0.8983062071575737</v>
          </cell>
          <cell r="R90">
            <v>0.81355055729605186</v>
          </cell>
          <cell r="W90">
            <v>0.99999953467964531</v>
          </cell>
        </row>
        <row r="91">
          <cell r="A91">
            <v>87</v>
          </cell>
          <cell r="C91">
            <v>9.9975660135073779E-2</v>
          </cell>
          <cell r="H91">
            <v>0.49720488215258096</v>
          </cell>
          <cell r="M91">
            <v>0.8993403699078415</v>
          </cell>
          <cell r="R91">
            <v>0.81407918963012427</v>
          </cell>
          <cell r="W91">
            <v>0.99999960447772018</v>
          </cell>
        </row>
        <row r="92">
          <cell r="A92">
            <v>88</v>
          </cell>
          <cell r="C92">
            <v>9.9977850782160038E-2</v>
          </cell>
          <cell r="H92">
            <v>0.49734541931332998</v>
          </cell>
          <cell r="M92">
            <v>0.90035360602087056</v>
          </cell>
          <cell r="R92">
            <v>0.8145923019648933</v>
          </cell>
          <cell r="W92">
            <v>0.99999966380607785</v>
          </cell>
        </row>
        <row r="93">
          <cell r="A93">
            <v>89</v>
          </cell>
          <cell r="C93">
            <v>9.9979844260824416E-2</v>
          </cell>
          <cell r="H93">
            <v>0.4974788530275257</v>
          </cell>
          <cell r="M93">
            <v>0.901346546404175</v>
          </cell>
          <cell r="R93">
            <v>0.81509042282701971</v>
          </cell>
          <cell r="W93">
            <v>0.99999971423517753</v>
          </cell>
        </row>
        <row r="94">
          <cell r="A94">
            <v>90</v>
          </cell>
          <cell r="C94">
            <v>9.9981658317975605E-2</v>
          </cell>
          <cell r="H94">
            <v>0.49760554599435508</v>
          </cell>
          <cell r="M94">
            <v>0.90231979679481333</v>
          </cell>
          <cell r="R94">
            <v>0.81557405892083545</v>
          </cell>
          <cell r="W94">
            <v>0.99999975709990907</v>
          </cell>
        </row>
        <row r="95">
          <cell r="A95">
            <v>91</v>
          </cell>
          <cell r="C95">
            <v>9.9983309102999532E-2</v>
          </cell>
          <cell r="H95">
            <v>0.49772584203563586</v>
          </cell>
          <cell r="M95">
            <v>0.90327393900463404</v>
          </cell>
          <cell r="R95">
            <v>0.81604369622963624</v>
          </cell>
          <cell r="W95">
            <v>0.99999979353492863</v>
          </cell>
        </row>
        <row r="96">
          <cell r="A96">
            <v>92</v>
          </cell>
          <cell r="C96">
            <v>9.9984811311588179E-2</v>
          </cell>
          <cell r="H96">
            <v>0.49784006711329876</v>
          </cell>
          <cell r="M96">
            <v>0.90420953209220201</v>
          </cell>
          <cell r="R96">
            <v>0.81649980105065378</v>
          </cell>
          <cell r="W96">
            <v>0.9999998245046936</v>
          </cell>
        </row>
        <row r="97">
          <cell r="A97">
            <v>93</v>
          </cell>
          <cell r="C97">
            <v>9.9986178316614868E-2</v>
          </cell>
          <cell r="H97">
            <v>0.49794853028864133</v>
          </cell>
          <cell r="M97">
            <v>0.90512711346640151</v>
          </cell>
          <cell r="R97">
            <v>0.8169428209683296</v>
          </cell>
          <cell r="W97">
            <v>0.99999985082899268</v>
          </cell>
        </row>
        <row r="98">
          <cell r="A98">
            <v>94</v>
          </cell>
          <cell r="C98">
            <v>9.9987422287223418E-2</v>
          </cell>
          <cell r="H98">
            <v>0.49805152462700691</v>
          </cell>
          <cell r="M98">
            <v>0.90602719992632319</v>
          </cell>
          <cell r="R98">
            <v>0.81737318577014895</v>
          </cell>
          <cell r="W98">
            <v>0.99999987320464601</v>
          </cell>
        </row>
        <row r="99">
          <cell r="A99">
            <v>95</v>
          </cell>
          <cell r="C99">
            <v>9.9988554297193194E-2</v>
          </cell>
          <cell r="H99">
            <v>0.49814932805128448</v>
          </cell>
          <cell r="M99">
            <v>0.90691028864169188</v>
          </cell>
          <cell r="R99">
            <v>0.81779130830895919</v>
          </cell>
          <cell r="W99">
            <v>0.9999998922239508</v>
          </cell>
        </row>
        <row r="100">
          <cell r="A100">
            <v>96</v>
          </cell>
          <cell r="C100">
            <v>9.9989584423546218E-2</v>
          </cell>
          <cell r="H100">
            <v>0.4982422041473864</v>
          </cell>
          <cell r="M100">
            <v>0.9077768580777692</v>
          </cell>
          <cell r="R100">
            <v>0.81819758531539555</v>
          </cell>
          <cell r="W100">
            <v>0.99999990839035935</v>
          </cell>
        </row>
        <row r="101">
          <cell r="A101">
            <v>97</v>
          </cell>
          <cell r="C101">
            <v>9.9990521836275478E-2</v>
          </cell>
          <cell r="H101">
            <v>0.49833040292464303</v>
          </cell>
          <cell r="M101">
            <v>0.90862736886837003</v>
          </cell>
          <cell r="R101">
            <v>0.81859239816375817</v>
          </cell>
          <cell r="W101">
            <v>0.99999992213180633</v>
          </cell>
        </row>
        <row r="102">
          <cell r="A102">
            <v>98</v>
          </cell>
          <cell r="C102">
            <v>9.9991374879994238E-2</v>
          </cell>
          <cell r="H102">
            <v>0.49841416153385026</v>
          </cell>
          <cell r="M102">
            <v>0.90946226464036173</v>
          </cell>
          <cell r="R102">
            <v>0.81897611359443201</v>
          </cell>
          <cell r="W102">
            <v>0.999999933812036</v>
          </cell>
        </row>
        <row r="103">
          <cell r="A103">
            <v>99</v>
          </cell>
          <cell r="C103">
            <v>9.9992151148234024E-2</v>
          </cell>
          <cell r="H103">
            <v>0.49849370494552181</v>
          </cell>
          <cell r="M103">
            <v>0.9102819727927669</v>
          </cell>
          <cell r="R103">
            <v>0.81934908439570853</v>
          </cell>
          <cell r="W103">
            <v>0.99999994374023105</v>
          </cell>
        </row>
        <row r="104">
          <cell r="A104">
            <v>100</v>
          </cell>
          <cell r="C104">
            <v>9.9992857551053416E-2</v>
          </cell>
          <cell r="H104">
            <v>0.49856924659072482</v>
          </cell>
          <cell r="M104">
            <v>0.91108690523336266</v>
          </cell>
          <cell r="R104">
            <v>0.81971165004765389</v>
          </cell>
          <cell r="W104">
            <v>0.99999995217919668</v>
          </cell>
        </row>
        <row r="198">
          <cell r="AB198">
            <v>1</v>
          </cell>
          <cell r="AC198">
            <v>0.83325073041714881</v>
          </cell>
        </row>
        <row r="199">
          <cell r="AB199">
            <v>0.9</v>
          </cell>
          <cell r="AC199">
            <v>0.63434527035517529</v>
          </cell>
        </row>
        <row r="200">
          <cell r="AB200">
            <v>0.81</v>
          </cell>
          <cell r="AC200">
            <v>0.531373329305874</v>
          </cell>
        </row>
        <row r="201">
          <cell r="AB201">
            <v>0.8</v>
          </cell>
          <cell r="AC201">
            <v>0.52140611002753323</v>
          </cell>
        </row>
        <row r="202">
          <cell r="AB202">
            <v>0.64</v>
          </cell>
          <cell r="AC202">
            <v>0.38383026738277615</v>
          </cell>
        </row>
        <row r="203">
          <cell r="AB203">
            <v>0.7</v>
          </cell>
          <cell r="AC203">
            <v>0.43151874358781661</v>
          </cell>
        </row>
        <row r="204">
          <cell r="AB204">
            <v>0.6</v>
          </cell>
          <cell r="AC204">
            <v>0.3539206608576515</v>
          </cell>
        </row>
        <row r="205">
          <cell r="AB205">
            <v>0.5</v>
          </cell>
          <cell r="AC205">
            <v>0.28427304671842196</v>
          </cell>
        </row>
        <row r="206">
          <cell r="AB206">
            <v>0.49</v>
          </cell>
          <cell r="AC206">
            <v>0.27764841231246901</v>
          </cell>
        </row>
        <row r="207">
          <cell r="AB207">
            <v>0.4</v>
          </cell>
          <cell r="AC207">
            <v>0.22030935234448937</v>
          </cell>
        </row>
        <row r="208">
          <cell r="AB208">
            <v>0.36</v>
          </cell>
          <cell r="AC208">
            <v>0.19599200803986355</v>
          </cell>
        </row>
        <row r="209">
          <cell r="AB209">
            <v>0.3</v>
          </cell>
          <cell r="AC209">
            <v>0.16066857780163013</v>
          </cell>
        </row>
        <row r="210">
          <cell r="AB210">
            <v>0.25</v>
          </cell>
          <cell r="AC210">
            <v>0.13217818953485591</v>
          </cell>
        </row>
        <row r="211">
          <cell r="AB211">
            <v>0.2</v>
          </cell>
          <cell r="AC211">
            <v>0.10445769178849855</v>
          </cell>
        </row>
        <row r="212">
          <cell r="AB212">
            <v>0.16</v>
          </cell>
          <cell r="AC212">
            <v>8.2787676831816481E-2</v>
          </cell>
        </row>
        <row r="213">
          <cell r="AB213">
            <v>0.1</v>
          </cell>
          <cell r="AC213">
            <v>5.105333232146067E-2</v>
          </cell>
        </row>
        <row r="214">
          <cell r="AB214">
            <v>0.09</v>
          </cell>
          <cell r="AC214">
            <v>4.5848619993231116E-2</v>
          </cell>
        </row>
        <row r="215">
          <cell r="AB215">
            <v>0.04</v>
          </cell>
          <cell r="AC215">
            <v>2.0163281629116563E-2</v>
          </cell>
        </row>
        <row r="216">
          <cell r="AB216">
            <v>0.01</v>
          </cell>
          <cell r="AC216">
            <v>5.0100503121660919E-3</v>
          </cell>
        </row>
      </sheetData>
      <sheetData sheetId="1"/>
      <sheetData sheetId="2">
        <row r="7">
          <cell r="C7">
            <v>0</v>
          </cell>
          <cell r="P7">
            <v>0.05</v>
          </cell>
        </row>
        <row r="8">
          <cell r="C8">
            <v>0.05</v>
          </cell>
          <cell r="P8">
            <v>4.95247623811906E-2</v>
          </cell>
        </row>
        <row r="9">
          <cell r="C9">
            <v>9.7048524262131064E-2</v>
          </cell>
          <cell r="P9">
            <v>4.8295915508289392E-2</v>
          </cell>
        </row>
        <row r="10">
          <cell r="C10">
            <v>0.14057721778189941</v>
          </cell>
          <cell r="P10">
            <v>4.6589746620678892E-2</v>
          </cell>
        </row>
        <row r="11">
          <cell r="C11">
            <v>0.18030861618244937</v>
          </cell>
          <cell r="P11">
            <v>4.4635287733341369E-2</v>
          </cell>
        </row>
        <row r="12">
          <cell r="C12">
            <v>0.21619670872000119</v>
          </cell>
          <cell r="P12">
            <v>4.2603705362788361E-2</v>
          </cell>
        </row>
        <row r="13">
          <cell r="C13">
            <v>0.24836039337865007</v>
          </cell>
          <cell r="P13">
            <v>4.0611518390499424E-2</v>
          </cell>
        </row>
        <row r="14">
          <cell r="C14">
            <v>0.27702331618069204</v>
          </cell>
          <cell r="P14">
            <v>3.8730508080850171E-2</v>
          </cell>
        </row>
        <row r="15">
          <cell r="C15">
            <v>0.30246613304846509</v>
          </cell>
          <cell r="P15">
            <v>3.6999239690502624E-2</v>
          </cell>
        </row>
        <row r="16">
          <cell r="C16">
            <v>0.32499210410201929</v>
          </cell>
          <cell r="P16">
            <v>3.5433447596262074E-2</v>
          </cell>
        </row>
        <row r="17">
          <cell r="C17">
            <v>0.34490427411336727</v>
          </cell>
          <cell r="P17">
            <v>3.4034245056822093E-2</v>
          </cell>
        </row>
        <row r="18">
          <cell r="C18">
            <v>0.36249159321167984</v>
          </cell>
          <cell r="P18">
            <v>3.2794087370013936E-2</v>
          </cell>
        </row>
        <row r="19">
          <cell r="C19">
            <v>0.37802139655260908</v>
          </cell>
          <cell r="P19">
            <v>3.1700838919807517E-2</v>
          </cell>
        </row>
        <row r="20">
          <cell r="C20">
            <v>0.39173612369879574</v>
          </cell>
          <cell r="P20">
            <v>3.0740402122058221E-2</v>
          </cell>
        </row>
        <row r="21">
          <cell r="C21">
            <v>0.40385269952981123</v>
          </cell>
          <cell r="P21">
            <v>2.9898327904714535E-2</v>
          </cell>
        </row>
        <row r="22">
          <cell r="C22">
            <v>0.41456347606279947</v>
          </cell>
          <cell r="P22">
            <v>2.916074006507904E-2</v>
          </cell>
        </row>
        <row r="23">
          <cell r="C23">
            <v>0.42403800532148456</v>
          </cell>
          <cell r="P23">
            <v>2.8514816064105063E-2</v>
          </cell>
        </row>
        <row r="24">
          <cell r="C24">
            <v>0.43242518031631011</v>
          </cell>
          <cell r="P24">
            <v>2.794899209954883E-2</v>
          </cell>
        </row>
        <row r="25">
          <cell r="C25">
            <v>0.43985546379506596</v>
          </cell>
          <cell r="P25">
            <v>2.7453004168992906E-2</v>
          </cell>
        </row>
        <row r="26">
          <cell r="C26">
            <v>0.44644304456585587</v>
          </cell>
          <cell r="P26">
            <v>2.7017837153866835E-2</v>
          </cell>
        </row>
        <row r="27">
          <cell r="C27">
            <v>0.45228783763373653</v>
          </cell>
          <cell r="P27">
            <v>2.6635627022629432E-2</v>
          </cell>
        </row>
        <row r="28">
          <cell r="C28">
            <v>0.45747729142354759</v>
          </cell>
          <cell r="P28">
            <v>2.6299543509265343E-2</v>
          </cell>
        </row>
        <row r="29">
          <cell r="C29">
            <v>0.46208799318617227</v>
          </cell>
          <cell r="P29">
            <v>2.6003669217261906E-2</v>
          </cell>
        </row>
        <row r="30">
          <cell r="C30">
            <v>0.46618707928326242</v>
          </cell>
          <cell r="P30">
            <v>2.5742883928878021E-2</v>
          </cell>
        </row>
        <row r="31">
          <cell r="C31">
            <v>0.46983346505153339</v>
          </cell>
          <cell r="P31">
            <v>2.5512758496572779E-2</v>
          </cell>
        </row>
        <row r="32">
          <cell r="C32">
            <v>0.47307891237070082</v>
          </cell>
          <cell r="P32">
            <v>2.530946006509242E-2</v>
          </cell>
        </row>
        <row r="33">
          <cell r="C33">
            <v>0.4759689538140035</v>
          </cell>
          <cell r="P33">
            <v>2.5129668862942912E-2</v>
          </cell>
        </row>
        <row r="34">
          <cell r="C34">
            <v>0.47854369154309906</v>
          </cell>
          <cell r="P34">
            <v>2.4970505984898424E-2</v>
          </cell>
        </row>
        <row r="35">
          <cell r="C35">
            <v>0.48083848765159759</v>
          </cell>
          <cell r="P35">
            <v>2.4829471190229609E-2</v>
          </cell>
        </row>
        <row r="36">
          <cell r="C36">
            <v>0.4828845608997358</v>
          </cell>
          <cell r="P36">
            <v>2.4704389592303082E-2</v>
          </cell>
        </row>
        <row r="37">
          <cell r="C37">
            <v>0.48470950296743692</v>
          </cell>
          <cell r="P37">
            <v>2.4593366106808685E-2</v>
          </cell>
        </row>
        <row r="38">
          <cell r="C38">
            <v>0.48633772562053329</v>
          </cell>
          <cell r="P38">
            <v>2.4494746592291505E-2</v>
          </cell>
        </row>
        <row r="39">
          <cell r="C39">
            <v>0.48779084860218352</v>
          </cell>
          <cell r="P39">
            <v>2.4407084718319566E-2</v>
          </cell>
        </row>
        <row r="40">
          <cell r="C40">
            <v>0.48908803665447786</v>
          </cell>
          <cell r="P40">
            <v>2.4329113710358945E-2</v>
          </cell>
        </row>
        <row r="41">
          <cell r="C41">
            <v>0.49024629284659493</v>
          </cell>
          <cell r="P41">
            <v>2.4259722233280212E-2</v>
          </cell>
        </row>
        <row r="42">
          <cell r="C42">
            <v>0.49128071432588138</v>
          </cell>
          <cell r="P42">
            <v>2.4197933780608985E-2</v>
          </cell>
        </row>
        <row r="43">
          <cell r="C43">
            <v>0.49220471570116581</v>
          </cell>
          <cell r="P43">
            <v>2.4142889031087904E-2</v>
          </cell>
        </row>
        <row r="44">
          <cell r="C44">
            <v>0.49303022449564099</v>
          </cell>
          <cell r="P44">
            <v>2.4093830716917449E-2</v>
          </cell>
        </row>
        <row r="45">
          <cell r="C45">
            <v>0.4937678524519305</v>
          </cell>
          <cell r="P45">
            <v>2.4050090619456576E-2</v>
          </cell>
        </row>
        <row r="46">
          <cell r="C46">
            <v>0.49442704591781766</v>
          </cell>
          <cell r="P46">
            <v>2.4011078369068385E-2</v>
          </cell>
        </row>
        <row r="47">
          <cell r="C47">
            <v>0.4950162180725417</v>
          </cell>
          <cell r="P47">
            <v>2.3976271777332005E-2</v>
          </cell>
        </row>
        <row r="48">
          <cell r="C48">
            <v>0.49554286535737996</v>
          </cell>
          <cell r="P48">
            <v>2.394520847321251E-2</v>
          </cell>
        </row>
        <row r="49">
          <cell r="C49">
            <v>0.49601367013906283</v>
          </cell>
          <cell r="P49">
            <v>2.3917478651145373E-2</v>
          </cell>
        </row>
        <row r="50">
          <cell r="C50">
            <v>0.49643459135069773</v>
          </cell>
          <cell r="P50">
            <v>2.389271876941048E-2</v>
          </cell>
        </row>
        <row r="51">
          <cell r="C51">
            <v>0.49681094461410275</v>
          </cell>
          <cell r="P51">
            <v>2.3870606062581314E-2</v>
          </cell>
        </row>
        <row r="52">
          <cell r="C52">
            <v>0.49714747314284979</v>
          </cell>
          <cell r="P52">
            <v>2.3850853753051661E-2</v>
          </cell>
        </row>
        <row r="53">
          <cell r="C53">
            <v>0.49744841055110633</v>
          </cell>
          <cell r="P53">
            <v>2.383320686435908E-2</v>
          </cell>
        </row>
        <row r="54">
          <cell r="C54">
            <v>0.49771753654469214</v>
          </cell>
          <cell r="P54">
            <v>2.3817438553829617E-2</v>
          </cell>
        </row>
        <row r="55">
          <cell r="C55">
            <v>0.49795822634359566</v>
          </cell>
          <cell r="P55">
            <v>2.380334689445399E-2</v>
          </cell>
        </row>
        <row r="56">
          <cell r="C56">
            <v>0.49817349457614712</v>
          </cell>
          <cell r="P56">
            <v>2.3790752046282549E-2</v>
          </cell>
        </row>
        <row r="57">
          <cell r="C57">
            <v>0.49836603429130816</v>
          </cell>
          <cell r="P57">
            <v>2.3779493766336611E-2</v>
          </cell>
        </row>
        <row r="58">
          <cell r="C58">
            <v>0.49853825165476251</v>
          </cell>
          <cell r="P58">
            <v>2.376942921335953E-2</v>
          </cell>
        </row>
        <row r="59">
          <cell r="C59">
            <v>0.49869229682471589</v>
          </cell>
          <cell r="P59">
            <v>2.3760431009906612E-2</v>
          </cell>
        </row>
        <row r="60">
          <cell r="C60">
            <v>0.49883009144289137</v>
          </cell>
          <cell r="P60">
            <v>2.3752385529491608E-2</v>
          </cell>
        </row>
        <row r="61">
          <cell r="C61">
            <v>0.49895335312376382</v>
          </cell>
          <cell r="P61">
            <v>2.3745191380928708E-2</v>
          </cell>
        </row>
        <row r="62">
          <cell r="C62">
            <v>0.49906361727945786</v>
          </cell>
          <cell r="P62">
            <v>2.3738758065764729E-2</v>
          </cell>
        </row>
        <row r="63">
          <cell r="C63">
            <v>0.49916225657796143</v>
          </cell>
          <cell r="P63">
            <v>2.3733004787894689E-2</v>
          </cell>
        </row>
        <row r="64">
          <cell r="C64">
            <v>0.49925049829756329</v>
          </cell>
          <cell r="P64">
            <v>2.3727859397186395E-2</v>
          </cell>
        </row>
        <row r="65">
          <cell r="C65">
            <v>0.49932943981001215</v>
          </cell>
          <cell r="P65">
            <v>2.3723257451279196E-2</v>
          </cell>
        </row>
        <row r="66">
          <cell r="C66">
            <v>0.49940006239822676</v>
          </cell>
          <cell r="P66">
            <v>2.3719141381731451E-2</v>
          </cell>
        </row>
        <row r="67">
          <cell r="C67">
            <v>0.49946324359096028</v>
          </cell>
          <cell r="P67">
            <v>2.3715459752421612E-2</v>
          </cell>
        </row>
        <row r="68">
          <cell r="C68">
            <v>0.4995197681762128</v>
          </cell>
          <cell r="P68">
            <v>2.3712166599601153E-2</v>
          </cell>
        </row>
        <row r="69">
          <cell r="C69">
            <v>0.49957033803702322</v>
          </cell>
          <cell r="P69">
            <v>2.3709220844290741E-2</v>
          </cell>
        </row>
        <row r="70">
          <cell r="C70">
            <v>0.49961558093724823</v>
          </cell>
          <cell r="P70">
            <v>2.3706585768832403E-2</v>
          </cell>
        </row>
        <row r="71">
          <cell r="C71">
            <v>0.49965605837077659</v>
          </cell>
          <cell r="P71">
            <v>2.3704228550386269E-2</v>
          </cell>
        </row>
        <row r="72">
          <cell r="C72">
            <v>0.49969227257510468</v>
          </cell>
          <cell r="P72">
            <v>2.3702119845010337E-2</v>
          </cell>
        </row>
        <row r="73">
          <cell r="C73">
            <v>0.4997246727991092</v>
          </cell>
          <cell r="P73">
            <v>2.3700233416704672E-2</v>
          </cell>
        </row>
        <row r="74">
          <cell r="C74">
            <v>0.49975366090502316</v>
          </cell>
          <cell r="P74">
            <v>2.3698545806451227E-2</v>
          </cell>
        </row>
        <row r="75">
          <cell r="C75">
            <v>0.49977959637590064</v>
          </cell>
          <cell r="P75">
            <v>2.3697036036850517E-2</v>
          </cell>
        </row>
        <row r="76">
          <cell r="C76">
            <v>0.49980280079211359</v>
          </cell>
          <cell r="P76">
            <v>2.3695685348456917E-2</v>
          </cell>
        </row>
        <row r="77">
          <cell r="C77">
            <v>0.49982356183354193</v>
          </cell>
          <cell r="P77">
            <v>2.3694476964354779E-2</v>
          </cell>
        </row>
        <row r="78">
          <cell r="C78">
            <v>0.49984213685800183</v>
          </cell>
          <cell r="P78">
            <v>2.3693395879905717E-2</v>
          </cell>
        </row>
        <row r="79">
          <cell r="C79">
            <v>0.49985875610101216</v>
          </cell>
          <cell r="P79">
            <v>2.3692428674939738E-2</v>
          </cell>
        </row>
        <row r="80">
          <cell r="C80">
            <v>0.49987362553715425</v>
          </cell>
          <cell r="P80">
            <v>2.3691563345965703E-2</v>
          </cell>
        </row>
        <row r="81">
          <cell r="C81">
            <v>0.4998869294389639</v>
          </cell>
          <cell r="P81">
            <v>2.3690789156243765E-2</v>
          </cell>
        </row>
        <row r="82">
          <cell r="C82">
            <v>0.49989883266544721</v>
          </cell>
          <cell r="P82">
            <v>2.3690096501799887E-2</v>
          </cell>
        </row>
        <row r="83">
          <cell r="C83">
            <v>0.49990948270888469</v>
          </cell>
          <cell r="P83">
            <v>2.3689476791672368E-2</v>
          </cell>
        </row>
        <row r="84">
          <cell r="C84">
            <v>0.4999190115255292</v>
          </cell>
          <cell r="P84">
            <v>2.3688922340866624E-2</v>
          </cell>
        </row>
        <row r="85">
          <cell r="C85">
            <v>0.49992753717307598</v>
          </cell>
          <cell r="P85">
            <v>2.3688426274660151E-2</v>
          </cell>
        </row>
        <row r="86">
          <cell r="C86">
            <v>0.49993516527534926</v>
          </cell>
          <cell r="P86">
            <v>2.3687982443046443E-2</v>
          </cell>
        </row>
        <row r="87">
          <cell r="C87">
            <v>0.49994199033247588</v>
          </cell>
          <cell r="P87">
            <v>2.3687585344237493E-2</v>
          </cell>
        </row>
        <row r="88">
          <cell r="C88">
            <v>0.49994809689287767</v>
          </cell>
          <cell r="P88">
            <v>2.3687230056260909E-2</v>
          </cell>
        </row>
        <row r="89">
          <cell r="C89">
            <v>0.49995356060168161</v>
          </cell>
          <cell r="P89">
            <v>2.3686912175791056E-2</v>
          </cell>
        </row>
        <row r="90">
          <cell r="C90">
            <v>0.49995844913859899</v>
          </cell>
          <cell r="P90">
            <v>2.3686627763446114E-2</v>
          </cell>
        </row>
        <row r="91">
          <cell r="C91">
            <v>0.49996282305694284</v>
          </cell>
          <cell r="P91">
            <v>2.3686373294864931E-2</v>
          </cell>
        </row>
        <row r="92">
          <cell r="C92">
            <v>0.4999667365342173</v>
          </cell>
          <cell r="P92">
            <v>2.3686145616951093E-2</v>
          </cell>
        </row>
        <row r="93">
          <cell r="C93">
            <v>0.49997023804360996</v>
          </cell>
          <cell r="P93">
            <v>2.3685941908736689E-2</v>
          </cell>
        </row>
        <row r="94">
          <cell r="C94">
            <v>0.49997337095472927</v>
          </cell>
          <cell r="P94">
            <v>2.3685759646376824E-2</v>
          </cell>
        </row>
        <row r="95">
          <cell r="C95">
            <v>0.49997617407105077</v>
          </cell>
          <cell r="P95">
            <v>2.3685596571837823E-2</v>
          </cell>
        </row>
        <row r="96">
          <cell r="C96">
            <v>0.49997868211074414</v>
          </cell>
          <cell r="P96">
            <v>2.3685450664888499E-2</v>
          </cell>
        </row>
        <row r="97">
          <cell r="C97">
            <v>0.49998092613685097</v>
          </cell>
          <cell r="P97">
            <v>2.3685320118045427E-2</v>
          </cell>
        </row>
        <row r="98">
          <cell r="C98">
            <v>0.49998293394215154</v>
          </cell>
          <cell r="P98">
            <v>2.3685203314160141E-2</v>
          </cell>
        </row>
        <row r="99">
          <cell r="C99">
            <v>0.49998473039349606</v>
          </cell>
          <cell r="P99">
            <v>2.3685098806369202E-2</v>
          </cell>
        </row>
        <row r="100">
          <cell r="C100">
            <v>0.499986337739872</v>
          </cell>
          <cell r="P100">
            <v>2.3685005300157713E-2</v>
          </cell>
        </row>
        <row r="101">
          <cell r="C101">
            <v>0.49998777588802823</v>
          </cell>
          <cell r="P101">
            <v>2.3684921637313228E-2</v>
          </cell>
        </row>
        <row r="102">
          <cell r="C102">
            <v>0.49998906264907439</v>
          </cell>
          <cell r="P102">
            <v>2.3684846781570613E-2</v>
          </cell>
        </row>
        <row r="103">
          <cell r="C103">
            <v>0.49999021395911275</v>
          </cell>
          <cell r="P103">
            <v>2.3684779805769447E-2</v>
          </cell>
        </row>
        <row r="104">
          <cell r="C104">
            <v>0.49999124407663809</v>
          </cell>
          <cell r="P104">
            <v>2.368471988036451E-2</v>
          </cell>
        </row>
        <row r="105">
          <cell r="C105">
            <v>0.49999216575915245</v>
          </cell>
          <cell r="P105">
            <v>2.368466626314663E-2</v>
          </cell>
        </row>
        <row r="106">
          <cell r="C106">
            <v>0.49999299042118411</v>
          </cell>
          <cell r="P106">
            <v>2.3684618290046304E-2</v>
          </cell>
        </row>
        <row r="107">
          <cell r="C107">
            <v>0.4999937282756689</v>
          </cell>
          <cell r="P107">
            <v>2.3684575366906043E-2</v>
          </cell>
        </row>
        <row r="108">
          <cell r="C108">
            <v>0.49999438846044619</v>
          </cell>
          <cell r="P108">
            <v>2.3684536962119172E-2</v>
          </cell>
        </row>
        <row r="109">
          <cell r="C109">
            <v>0.49999497915143704</v>
          </cell>
          <cell r="P109">
            <v>2.3684502600044007E-2</v>
          </cell>
        </row>
        <row r="110">
          <cell r="C110">
            <v>0.49999550766390699</v>
          </cell>
          <cell r="P110">
            <v>2.3684471855111484E-2</v>
          </cell>
        </row>
        <row r="111">
          <cell r="C111">
            <v>0.49999598054306749</v>
          </cell>
          <cell r="P111">
            <v>2.3684444346553379E-2</v>
          </cell>
        </row>
        <row r="112">
          <cell r="C112">
            <v>0.49999640364513981</v>
          </cell>
          <cell r="P112">
            <v>2.368441973368559E-2</v>
          </cell>
        </row>
        <row r="113">
          <cell r="C113">
            <v>0.49999678220988408</v>
          </cell>
          <cell r="P113">
            <v>2.3684397711688111E-2</v>
          </cell>
        </row>
        <row r="114">
          <cell r="C114">
            <v>0.49999712092549359</v>
          </cell>
          <cell r="P114">
            <v>2.3684378007829351E-2</v>
          </cell>
        </row>
        <row r="115">
          <cell r="C115">
            <v>0.49999742398665675</v>
          </cell>
          <cell r="P115">
            <v>2.3684360378087986E-2</v>
          </cell>
        </row>
        <row r="116">
          <cell r="C116">
            <v>0.49999769514650744</v>
          </cell>
          <cell r="P116">
            <v>2.3684344604130485E-2</v>
          </cell>
        </row>
        <row r="117">
          <cell r="C117">
            <v>0.49999793776310603</v>
          </cell>
          <cell r="P117">
            <v>2.3684330490606857E-2</v>
          </cell>
        </row>
        <row r="118">
          <cell r="C118">
            <v>0.49999815484102722</v>
          </cell>
          <cell r="P118">
            <v>2.3684317862731154E-2</v>
          </cell>
        </row>
        <row r="119">
          <cell r="C119">
            <v>0.49999834906857038</v>
          </cell>
          <cell r="P119">
            <v>2.368430656411661E-2</v>
          </cell>
        </row>
        <row r="120">
          <cell r="C120">
            <v>0.49999852285105256</v>
          </cell>
          <cell r="P120">
            <v>2.3684296454838792E-2</v>
          </cell>
        </row>
        <row r="121">
          <cell r="C121">
            <v>0.49999867834059675</v>
          </cell>
          <cell r="P121">
            <v>2.3684287409702586E-2</v>
          </cell>
        </row>
        <row r="122">
          <cell r="C122">
            <v>0.49999881746278435</v>
          </cell>
          <cell r="P122">
            <v>2.3684279316691665E-2</v>
          </cell>
        </row>
        <row r="123">
          <cell r="C123">
            <v>0.49999894194050215</v>
          </cell>
          <cell r="P123">
            <v>2.3684272075581193E-2</v>
          </cell>
        </row>
        <row r="124">
          <cell r="C124">
            <v>0.49999905331527911</v>
          </cell>
          <cell r="P124">
            <v>2.3684265596696518E-2</v>
          </cell>
        </row>
        <row r="125">
          <cell r="C125">
            <v>0.49999915296637681</v>
          </cell>
          <cell r="P125">
            <v>2.3684259799802619E-2</v>
          </cell>
        </row>
        <row r="126">
          <cell r="C126">
            <v>0.49999924212787045</v>
          </cell>
          <cell r="P126">
            <v>2.3684254613110422E-2</v>
          </cell>
        </row>
        <row r="127">
          <cell r="C127">
            <v>0.49999932190393181</v>
          </cell>
          <cell r="P127">
            <v>2.3684249972387692E-2</v>
          </cell>
        </row>
        <row r="128">
          <cell r="C128">
            <v>0.49999939328250348</v>
          </cell>
          <cell r="P128">
            <v>2.3684245820163582E-2</v>
          </cell>
        </row>
        <row r="129">
          <cell r="C129">
            <v>0.49999945714753369</v>
          </cell>
          <cell r="P129">
            <v>2.3684242105016903E-2</v>
          </cell>
        </row>
        <row r="130">
          <cell r="C130">
            <v>0.49999951428992306</v>
          </cell>
          <cell r="P130">
            <v>2.3684238780939251E-2</v>
          </cell>
        </row>
        <row r="131">
          <cell r="C131">
            <v>0.49999956541731916</v>
          </cell>
          <cell r="P131">
            <v>2.3684235806765274E-2</v>
          </cell>
        </row>
        <row r="132">
          <cell r="C132">
            <v>0.49999961116288016</v>
          </cell>
          <cell r="P132">
            <v>2.3684233145662866E-2</v>
          </cell>
        </row>
        <row r="133">
          <cell r="C133">
            <v>0.49999965209311587</v>
          </cell>
          <cell r="P133">
            <v>2.3684230764676989E-2</v>
          </cell>
        </row>
        <row r="134">
          <cell r="C134">
            <v>0.49999968871490319</v>
          </cell>
          <cell r="P134">
            <v>2.3684228634321597E-2</v>
          </cell>
        </row>
        <row r="135">
          <cell r="C135">
            <v>0.49999972148176353</v>
          </cell>
          <cell r="P135">
            <v>2.3684226728214457E-2</v>
          </cell>
        </row>
        <row r="136">
          <cell r="C136">
            <v>0.49999975079947906</v>
          </cell>
          <cell r="P136">
            <v>2.3684225022750423E-2</v>
          </cell>
        </row>
        <row r="137">
          <cell r="C137">
            <v>0.49999977703111798</v>
          </cell>
          <cell r="P137">
            <v>2.3684223496809129E-2</v>
          </cell>
        </row>
        <row r="138">
          <cell r="C138">
            <v>0.4999998005015307</v>
          </cell>
          <cell r="P138">
            <v>2.3684222131493394E-2</v>
          </cell>
        </row>
        <row r="139">
          <cell r="C139">
            <v>0.4999998215013729</v>
          </cell>
          <cell r="P139">
            <v>2.3684220909895231E-2</v>
          </cell>
        </row>
        <row r="140">
          <cell r="C140">
            <v>0.49999984029070466</v>
          </cell>
          <cell r="P140">
            <v>2.3684219816886457E-2</v>
          </cell>
        </row>
        <row r="141">
          <cell r="C141">
            <v>0.49999985710221151</v>
          </cell>
          <cell r="P141">
            <v>2.3684218838931317E-2</v>
          </cell>
        </row>
        <row r="142">
          <cell r="C142">
            <v>0.49999987214408564</v>
          </cell>
          <cell r="P142">
            <v>2.3684217963918893E-2</v>
          </cell>
        </row>
        <row r="143">
          <cell r="C143">
            <v>0.49999988560260428</v>
          </cell>
          <cell r="P143">
            <v>2.3684217181013094E-2</v>
          </cell>
        </row>
        <row r="144">
          <cell r="C144">
            <v>0.49999989764443648</v>
          </cell>
          <cell r="P144">
            <v>2.3684216480518473E-2</v>
          </cell>
        </row>
        <row r="145">
          <cell r="C145">
            <v>0.49999990841870717</v>
          </cell>
          <cell r="P145">
            <v>2.3684215853760158E-2</v>
          </cell>
        </row>
        <row r="146">
          <cell r="C146">
            <v>0.49999991805884392</v>
          </cell>
          <cell r="P146">
            <v>2.368421529297644E-2</v>
          </cell>
        </row>
        <row r="147">
          <cell r="C147">
            <v>0.49999992668422932</v>
          </cell>
          <cell r="P147">
            <v>2.3684214791222593E-2</v>
          </cell>
        </row>
        <row r="148">
          <cell r="C148">
            <v>0.49999993440167928</v>
          </cell>
          <cell r="P148">
            <v>2.368421434228497E-2</v>
          </cell>
        </row>
        <row r="149">
          <cell r="C149">
            <v>0.499999941306766</v>
          </cell>
          <cell r="P149">
            <v>2.3684213940603948E-2</v>
          </cell>
        </row>
        <row r="150">
          <cell r="C150">
            <v>0.49999994748500143</v>
          </cell>
          <cell r="P150">
            <v>2.3684213581205156E-2</v>
          </cell>
        </row>
        <row r="151">
          <cell r="C151">
            <v>0.49999995301289624</v>
          </cell>
          <cell r="P151">
            <v>2.3684213259637821E-2</v>
          </cell>
        </row>
        <row r="152">
          <cell r="C152">
            <v>0.49999995795890734</v>
          </cell>
          <cell r="P152">
            <v>2.3684212971919683E-2</v>
          </cell>
        </row>
        <row r="153">
          <cell r="C153">
            <v>0.49999996238428568</v>
          </cell>
          <cell r="P153">
            <v>2.3684212714487667E-2</v>
          </cell>
        </row>
        <row r="154">
          <cell r="C154">
            <v>0.49999996634383465</v>
          </cell>
          <cell r="P154">
            <v>2.3684212484153772E-2</v>
          </cell>
        </row>
        <row r="155">
          <cell r="C155">
            <v>0.49999996988658896</v>
          </cell>
          <cell r="P155">
            <v>2.3684212278065553E-2</v>
          </cell>
        </row>
        <row r="156">
          <cell r="C156">
            <v>0.49999997305642174</v>
          </cell>
          <cell r="P156">
            <v>2.3684212093670831E-2</v>
          </cell>
        </row>
        <row r="157">
          <cell r="C157">
            <v>0.49999997589258793</v>
          </cell>
          <cell r="P157">
            <v>2.368421192868608E-2</v>
          </cell>
        </row>
        <row r="158">
          <cell r="C158">
            <v>0.49999997843021027</v>
          </cell>
          <cell r="P158">
            <v>2.3684211781068151E-2</v>
          </cell>
        </row>
        <row r="159">
          <cell r="C159">
            <v>0.49999998070071444</v>
          </cell>
          <cell r="P159">
            <v>2.368421164898895E-2</v>
          </cell>
        </row>
        <row r="160">
          <cell r="C160">
            <v>0.49999998273221818</v>
          </cell>
          <cell r="P160">
            <v>2.3684211530812828E-2</v>
          </cell>
        </row>
        <row r="161">
          <cell r="C161">
            <v>0.49999998454987943</v>
          </cell>
          <cell r="P161">
            <v>2.3684211425076297E-2</v>
          </cell>
        </row>
        <row r="162">
          <cell r="C162">
            <v>0.49999998617620789</v>
          </cell>
          <cell r="P162">
            <v>2.3684211330469929E-2</v>
          </cell>
        </row>
        <row r="163">
          <cell r="C163">
            <v>0.4999999876313439</v>
          </cell>
          <cell r="P163">
            <v>2.3684211245822123E-2</v>
          </cell>
        </row>
        <row r="164">
          <cell r="C164">
            <v>0.49999998893330766</v>
          </cell>
          <cell r="P164">
            <v>2.3684211170084613E-2</v>
          </cell>
        </row>
        <row r="165">
          <cell r="C165">
            <v>0.49999999009822266</v>
          </cell>
          <cell r="P165">
            <v>2.3684211102319476E-2</v>
          </cell>
        </row>
        <row r="166">
          <cell r="C166">
            <v>0.49999999114051497</v>
          </cell>
          <cell r="P166">
            <v>2.3684211041687511E-2</v>
          </cell>
        </row>
        <row r="167">
          <cell r="C167">
            <v>0.49999999207309231</v>
          </cell>
          <cell r="P167">
            <v>2.3684210987437854E-2</v>
          </cell>
        </row>
        <row r="168">
          <cell r="C168">
            <v>0.49999999290750363</v>
          </cell>
          <cell r="P168">
            <v>2.3684210938898696E-2</v>
          </cell>
        </row>
        <row r="169">
          <cell r="C169">
            <v>0.49999999365408215</v>
          </cell>
          <cell r="P169">
            <v>2.3684210895468918E-2</v>
          </cell>
        </row>
        <row r="170">
          <cell r="C170">
            <v>0.49999999432207348</v>
          </cell>
          <cell r="P170">
            <v>2.3684210856610693E-2</v>
          </cell>
        </row>
        <row r="171">
          <cell r="C171">
            <v>0.49999999491974989</v>
          </cell>
          <cell r="P171">
            <v>2.3684210821842813E-2</v>
          </cell>
        </row>
        <row r="172">
          <cell r="C172">
            <v>0.49999999545451301</v>
          </cell>
          <cell r="P172">
            <v>2.3684210790734708E-2</v>
          </cell>
        </row>
        <row r="173">
          <cell r="C173">
            <v>0.49999999593298528</v>
          </cell>
          <cell r="P173">
            <v>2.3684210762901146E-2</v>
          </cell>
        </row>
        <row r="174">
          <cell r="C174">
            <v>0.49999999636109205</v>
          </cell>
          <cell r="P174">
            <v>2.3684210737997421E-2</v>
          </cell>
        </row>
        <row r="175">
          <cell r="C175">
            <v>0.49999999674413498</v>
          </cell>
          <cell r="P175">
            <v>2.3684210715715151E-2</v>
          </cell>
        </row>
        <row r="176">
          <cell r="C176">
            <v>0.49999999708685761</v>
          </cell>
          <cell r="P176">
            <v>2.3684210695778373E-2</v>
          </cell>
        </row>
        <row r="177">
          <cell r="C177">
            <v>0.49999999739350415</v>
          </cell>
          <cell r="P177">
            <v>2.3684210677940212E-2</v>
          </cell>
        </row>
        <row r="178">
          <cell r="C178">
            <v>0.49999999766787212</v>
          </cell>
          <cell r="P178">
            <v>2.3684210661979749E-2</v>
          </cell>
        </row>
        <row r="179">
          <cell r="C179">
            <v>0.49999999791335925</v>
          </cell>
          <cell r="P179">
            <v>2.3684210647699329E-2</v>
          </cell>
        </row>
        <row r="180">
          <cell r="C180">
            <v>0.49999999813300561</v>
          </cell>
          <cell r="P180">
            <v>2.3684210634922123E-2</v>
          </cell>
        </row>
        <row r="181">
          <cell r="C181">
            <v>0.49999999832953129</v>
          </cell>
          <cell r="P181">
            <v>2.3684210623489878E-2</v>
          </cell>
        </row>
        <row r="182">
          <cell r="C182">
            <v>0.49999999850537008</v>
          </cell>
          <cell r="P182">
            <v>2.3684210613261029E-2</v>
          </cell>
        </row>
        <row r="183">
          <cell r="C183">
            <v>0.49999999866269956</v>
          </cell>
          <cell r="P183">
            <v>2.3684210604108899E-2</v>
          </cell>
        </row>
        <row r="184">
          <cell r="C184">
            <v>0.49999999880346796</v>
          </cell>
          <cell r="P184">
            <v>2.3684210595920154E-2</v>
          </cell>
        </row>
        <row r="185">
          <cell r="C185">
            <v>0.49999999892941865</v>
          </cell>
          <cell r="P185">
            <v>2.3684210588593383E-2</v>
          </cell>
        </row>
        <row r="186">
          <cell r="C186">
            <v>0.4999999990421114</v>
          </cell>
          <cell r="P186">
            <v>2.3684210582037853E-2</v>
          </cell>
        </row>
        <row r="187">
          <cell r="C187">
            <v>0.49999999914294174</v>
          </cell>
          <cell r="P187">
            <v>2.3684210576172374E-2</v>
          </cell>
        </row>
        <row r="188">
          <cell r="C188">
            <v>0.49999999923315841</v>
          </cell>
          <cell r="P188">
            <v>2.3684210570924312E-2</v>
          </cell>
        </row>
        <row r="189">
          <cell r="C189">
            <v>0.49999999931387856</v>
          </cell>
          <cell r="P189">
            <v>2.3684210566228679E-2</v>
          </cell>
        </row>
        <row r="190">
          <cell r="C190">
            <v>0.49999999938610185</v>
          </cell>
          <cell r="P190">
            <v>2.3684210562027325E-2</v>
          </cell>
        </row>
        <row r="191">
          <cell r="C191">
            <v>0.49999999945072265</v>
          </cell>
          <cell r="P191">
            <v>2.3684210558268224E-2</v>
          </cell>
        </row>
        <row r="192">
          <cell r="C192">
            <v>0.49999999950854129</v>
          </cell>
          <cell r="P192">
            <v>2.368421055490481E-2</v>
          </cell>
        </row>
        <row r="193">
          <cell r="C193">
            <v>0.49999999956027374</v>
          </cell>
          <cell r="P193">
            <v>2.3684210551895443E-2</v>
          </cell>
        </row>
        <row r="194">
          <cell r="C194">
            <v>0.49999999960656072</v>
          </cell>
          <cell r="P194">
            <v>2.3684210549202851E-2</v>
          </cell>
        </row>
        <row r="195">
          <cell r="C195">
            <v>0.49999999964797537</v>
          </cell>
          <cell r="P195">
            <v>2.3684210546793687E-2</v>
          </cell>
        </row>
        <row r="196">
          <cell r="C196">
            <v>0.49999999968503056</v>
          </cell>
          <cell r="P196">
            <v>2.368421054463812E-2</v>
          </cell>
        </row>
        <row r="197">
          <cell r="C197">
            <v>0.49999999971818521</v>
          </cell>
          <cell r="P197">
            <v>2.3684210542709458E-2</v>
          </cell>
        </row>
        <row r="198">
          <cell r="C198">
            <v>0.49999999974784992</v>
          </cell>
          <cell r="P198">
            <v>2.3684210540983811E-2</v>
          </cell>
        </row>
        <row r="199">
          <cell r="C199">
            <v>0.49999999977439202</v>
          </cell>
          <cell r="P199">
            <v>2.3684210539439809E-2</v>
          </cell>
        </row>
        <row r="200">
          <cell r="C200">
            <v>0.49999999979814019</v>
          </cell>
          <cell r="P200">
            <v>2.3684210538058335E-2</v>
          </cell>
        </row>
        <row r="201">
          <cell r="C201">
            <v>0.49999999981938853</v>
          </cell>
          <cell r="P201">
            <v>2.3684210536822285E-2</v>
          </cell>
        </row>
        <row r="202">
          <cell r="C202">
            <v>0.49999999983840027</v>
          </cell>
          <cell r="P202">
            <v>2.368421053571634E-2</v>
          </cell>
        </row>
        <row r="203">
          <cell r="C203">
            <v>0.49999999985541077</v>
          </cell>
          <cell r="P203">
            <v>2.3684210534726805E-2</v>
          </cell>
        </row>
        <row r="204">
          <cell r="C204">
            <v>0.49999999987063065</v>
          </cell>
          <cell r="P204">
            <v>2.368421053384144E-2</v>
          </cell>
        </row>
        <row r="205">
          <cell r="C205">
            <v>0.49999999988424843</v>
          </cell>
          <cell r="P205">
            <v>2.3684210533049269E-2</v>
          </cell>
        </row>
        <row r="206">
          <cell r="C206">
            <v>0.49999999989643279</v>
          </cell>
          <cell r="P206">
            <v>2.3684210532340485E-2</v>
          </cell>
        </row>
        <row r="207">
          <cell r="C207">
            <v>0.49999999990733457</v>
          </cell>
          <cell r="P207">
            <v>2.3684210531706312E-2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 of s1 s2"/>
      <sheetName val="Selection  &amp; Migration (3)"/>
      <sheetName val="qi &amp; dq eqn (3)"/>
      <sheetName val="B recessive"/>
    </sheetNames>
    <sheetDataSet>
      <sheetData sheetId="0"/>
      <sheetData sheetId="1"/>
      <sheetData sheetId="2">
        <row r="4">
          <cell r="A4">
            <v>0</v>
          </cell>
          <cell r="F4">
            <v>0.01</v>
          </cell>
        </row>
        <row r="5">
          <cell r="A5">
            <v>1</v>
          </cell>
          <cell r="F5">
            <v>8.9099999999999995E-3</v>
          </cell>
        </row>
        <row r="6">
          <cell r="A6">
            <v>2</v>
          </cell>
          <cell r="F6">
            <v>7.9556588100000002E-3</v>
          </cell>
        </row>
        <row r="7">
          <cell r="A7">
            <v>3</v>
          </cell>
          <cell r="F7">
            <v>7.1169538932295334E-3</v>
          </cell>
        </row>
        <row r="8">
          <cell r="A8">
            <v>4</v>
          </cell>
          <cell r="F8">
            <v>6.3773943992585218E-3</v>
          </cell>
        </row>
        <row r="9">
          <cell r="A9">
            <v>5</v>
          </cell>
          <cell r="F9">
            <v>5.7232922360576019E-3</v>
          </cell>
        </row>
        <row r="10">
          <cell r="A10">
            <v>6</v>
          </cell>
          <cell r="F10">
            <v>5.1432041205525785E-3</v>
          </cell>
        </row>
        <row r="11">
          <cell r="A11">
            <v>7</v>
          </cell>
          <cell r="F11">
            <v>4.6275000851636943E-3</v>
          </cell>
        </row>
        <row r="12">
          <cell r="A12">
            <v>8</v>
          </cell>
          <cell r="F12">
            <v>4.1680265813234295E-3</v>
          </cell>
        </row>
        <row r="13">
          <cell r="A13">
            <v>9</v>
          </cell>
          <cell r="F13">
            <v>3.7578410962252782E-3</v>
          </cell>
        </row>
        <row r="14">
          <cell r="A14">
            <v>10</v>
          </cell>
          <cell r="F14">
            <v>3.3910013629079045E-3</v>
          </cell>
        </row>
        <row r="15">
          <cell r="A15">
            <v>11</v>
          </cell>
          <cell r="F15">
            <v>3.06239662806021E-3</v>
          </cell>
        </row>
        <row r="16">
          <cell r="A16">
            <v>12</v>
          </cell>
          <cell r="F16">
            <v>2.7676115970258026E-3</v>
          </cell>
        </row>
        <row r="17">
          <cell r="A17">
            <v>13</v>
          </cell>
          <cell r="F17">
            <v>2.5028159708222267E-3</v>
          </cell>
        </row>
        <row r="18">
          <cell r="A18">
            <v>14</v>
          </cell>
          <cell r="F18">
            <v>2.2646741768851354E-3</v>
          </cell>
        </row>
        <row r="19">
          <cell r="A19">
            <v>15</v>
          </cell>
          <cell r="F19">
            <v>2.0502711468122058E-3</v>
          </cell>
        </row>
        <row r="20">
          <cell r="A20">
            <v>16</v>
          </cell>
          <cell r="F20">
            <v>1.8570509312621636E-3</v>
          </cell>
        </row>
        <row r="21">
          <cell r="A21">
            <v>17</v>
          </cell>
          <cell r="F21">
            <v>1.6827656493698384E-3</v>
          </cell>
        </row>
        <row r="22">
          <cell r="A22">
            <v>18</v>
          </cell>
          <cell r="F22">
            <v>1.5254328080879787E-3</v>
          </cell>
        </row>
        <row r="23">
          <cell r="A23">
            <v>19</v>
          </cell>
          <cell r="F23">
            <v>1.3832994392654358E-3</v>
          </cell>
        </row>
        <row r="24">
          <cell r="A24">
            <v>20</v>
          </cell>
          <cell r="F24">
            <v>1.2548118205811046E-3</v>
          </cell>
        </row>
        <row r="25">
          <cell r="A25">
            <v>21</v>
          </cell>
          <cell r="F25">
            <v>1.1385897937697294E-3</v>
          </cell>
        </row>
        <row r="26">
          <cell r="A26">
            <v>22</v>
          </cell>
          <cell r="F26">
            <v>1.0334048869398513E-3</v>
          </cell>
        </row>
        <row r="27">
          <cell r="A27">
            <v>23</v>
          </cell>
          <cell r="F27">
            <v>9.3816159986584262E-4</v>
          </cell>
        </row>
        <row r="28">
          <cell r="A28">
            <v>24</v>
          </cell>
          <cell r="F28">
            <v>8.5188133142548132E-4</v>
          </cell>
        </row>
        <row r="29">
          <cell r="A29">
            <v>25</v>
          </cell>
          <cell r="F29">
            <v>7.7368852401043901E-4</v>
          </cell>
        </row>
        <row r="30">
          <cell r="A30">
            <v>26</v>
          </cell>
          <cell r="F30">
            <v>7.0279867619459438E-4</v>
          </cell>
        </row>
        <row r="31">
          <cell r="A31">
            <v>27</v>
          </cell>
          <cell r="F31">
            <v>6.3850793635748283E-4</v>
          </cell>
        </row>
        <row r="32">
          <cell r="A32">
            <v>28</v>
          </cell>
          <cell r="F32">
            <v>5.8018403952029771E-4</v>
          </cell>
        </row>
        <row r="33">
          <cell r="A33">
            <v>29</v>
          </cell>
          <cell r="F33">
            <v>5.2725838982752363E-4</v>
          </cell>
        </row>
        <row r="34">
          <cell r="A34">
            <v>30</v>
          </cell>
          <cell r="F34">
            <v>4.792191238175373E-4</v>
          </cell>
        </row>
        <row r="35">
          <cell r="A35">
            <v>31</v>
          </cell>
          <cell r="F35">
            <v>4.3560501636923966E-4</v>
          </cell>
        </row>
        <row r="36">
          <cell r="A36">
            <v>32</v>
          </cell>
          <cell r="F36">
            <v>3.9600011316637089E-4</v>
          </cell>
        </row>
        <row r="37">
          <cell r="A37">
            <v>33</v>
          </cell>
          <cell r="F37">
            <v>3.6002899161527782E-4</v>
          </cell>
        </row>
        <row r="38">
          <cell r="A38">
            <v>34</v>
          </cell>
          <cell r="F38">
            <v>3.2735256712167378E-4</v>
          </cell>
        </row>
        <row r="39">
          <cell r="A39">
            <v>35</v>
          </cell>
          <cell r="F39">
            <v>2.9766437406315675E-4</v>
          </cell>
        </row>
        <row r="40">
          <cell r="A40">
            <v>36</v>
          </cell>
          <cell r="F40">
            <v>2.7068726115522627E-4</v>
          </cell>
        </row>
        <row r="41">
          <cell r="A41">
            <v>37</v>
          </cell>
          <cell r="F41">
            <v>2.4617044957496795E-4</v>
          </cell>
        </row>
        <row r="42">
          <cell r="A42">
            <v>38</v>
          </cell>
          <cell r="F42">
            <v>2.2388690948085647E-4</v>
          </cell>
        </row>
        <row r="43">
          <cell r="A43">
            <v>39</v>
          </cell>
          <cell r="F43">
            <v>2.0363101669434308E-4</v>
          </cell>
        </row>
        <row r="44">
          <cell r="A44">
            <v>40</v>
          </cell>
          <cell r="F44">
            <v>1.8521645648684505E-4</v>
          </cell>
        </row>
        <row r="45">
          <cell r="A45">
            <v>41</v>
          </cell>
          <cell r="F45">
            <v>1.6847434580650501E-4</v>
          </cell>
        </row>
        <row r="46">
          <cell r="A46">
            <v>42</v>
          </cell>
          <cell r="F46">
            <v>1.5325154901423867E-4</v>
          </cell>
        </row>
        <row r="47">
          <cell r="A47">
            <v>43</v>
          </cell>
          <cell r="F47">
            <v>1.39409165386295E-4</v>
          </cell>
        </row>
        <row r="48">
          <cell r="A48">
            <v>44</v>
          </cell>
          <cell r="F48">
            <v>1.2682116936952974E-4</v>
          </cell>
        </row>
        <row r="49">
          <cell r="A49">
            <v>45</v>
          </cell>
          <cell r="F49">
            <v>1.1537318691929276E-4</v>
          </cell>
        </row>
        <row r="50">
          <cell r="A50">
            <v>46</v>
          </cell>
          <cell r="F50">
            <v>1.0496139326831959E-4</v>
          </cell>
        </row>
        <row r="51">
          <cell r="A51">
            <v>47</v>
          </cell>
          <cell r="F51">
            <v>9.5491519219028514E-5</v>
          </cell>
        </row>
        <row r="52">
          <cell r="A52">
            <v>48</v>
          </cell>
          <cell r="F52">
            <v>8.6877954562358806E-5</v>
          </cell>
        </row>
        <row r="53">
          <cell r="A53">
            <v>49</v>
          </cell>
          <cell r="F53">
            <v>7.904293853896148E-5</v>
          </cell>
        </row>
        <row r="54">
          <cell r="A54">
            <v>50</v>
          </cell>
          <cell r="F54">
            <v>7.1915828402021112E-5</v>
          </cell>
        </row>
        <row r="55">
          <cell r="A55">
            <v>51</v>
          </cell>
          <cell r="F55">
            <v>6.5432438139695348E-5</v>
          </cell>
        </row>
        <row r="56">
          <cell r="A56">
            <v>52</v>
          </cell>
          <cell r="F56">
            <v>5.9534440289773366E-5</v>
          </cell>
        </row>
        <row r="57">
          <cell r="A57">
            <v>53</v>
          </cell>
          <cell r="F57">
            <v>5.416882454680437E-5</v>
          </cell>
        </row>
        <row r="58">
          <cell r="A58">
            <v>54</v>
          </cell>
          <cell r="F58">
            <v>4.9287407537340969E-5</v>
          </cell>
        </row>
        <row r="59">
          <cell r="A59">
            <v>55</v>
          </cell>
          <cell r="F59">
            <v>4.4846388734561329E-5</v>
          </cell>
        </row>
        <row r="60">
          <cell r="A60">
            <v>56</v>
          </cell>
          <cell r="F60">
            <v>4.0805948009875123E-5</v>
          </cell>
        </row>
        <row r="61">
          <cell r="A61">
            <v>57</v>
          </cell>
          <cell r="F61">
            <v>3.712988078511531E-5</v>
          </cell>
        </row>
        <row r="62">
          <cell r="A62">
            <v>58</v>
          </cell>
          <cell r="F62">
            <v>3.3785267162434254E-5</v>
          </cell>
        </row>
        <row r="63">
          <cell r="A63">
            <v>59</v>
          </cell>
          <cell r="F63">
            <v>3.0742171776518626E-5</v>
          </cell>
        </row>
        <row r="64">
          <cell r="A64">
            <v>60</v>
          </cell>
          <cell r="F64">
            <v>2.7973371440948025E-5</v>
          </cell>
        </row>
        <row r="65">
          <cell r="A65">
            <v>61</v>
          </cell>
          <cell r="F65">
            <v>2.5454107952311428E-5</v>
          </cell>
        </row>
        <row r="66">
          <cell r="A66">
            <v>62</v>
          </cell>
          <cell r="F66">
            <v>2.3161863676355102E-5</v>
          </cell>
        </row>
        <row r="67">
          <cell r="A67">
            <v>63</v>
          </cell>
          <cell r="F67">
            <v>2.1076157773533902E-5</v>
          </cell>
        </row>
        <row r="68">
          <cell r="A68">
            <v>64</v>
          </cell>
          <cell r="F68">
            <v>1.9178361130125707E-5</v>
          </cell>
        </row>
        <row r="69">
          <cell r="A69">
            <v>65</v>
          </cell>
          <cell r="F69">
            <v>1.7451528248278378E-5</v>
          </cell>
        </row>
        <row r="70">
          <cell r="A70">
            <v>66</v>
          </cell>
          <cell r="F70">
            <v>1.5880244516517511E-5</v>
          </cell>
        </row>
        <row r="71">
          <cell r="A71">
            <v>67</v>
          </cell>
          <cell r="F71">
            <v>1.4450487433261341E-5</v>
          </cell>
        </row>
        <row r="72">
          <cell r="A72">
            <v>68</v>
          </cell>
          <cell r="F72">
            <v>1.3149500491820357E-5</v>
          </cell>
        </row>
        <row r="73">
          <cell r="A73">
            <v>69</v>
          </cell>
          <cell r="F73">
            <v>1.1965678557821977E-5</v>
          </cell>
        </row>
        <row r="74">
          <cell r="A74">
            <v>70</v>
          </cell>
          <cell r="F74">
            <v>1.0888463680211111E-5</v>
          </cell>
        </row>
        <row r="75">
          <cell r="A75">
            <v>71</v>
          </cell>
          <cell r="F75">
            <v>9.9082503766164537E-6</v>
          </cell>
        </row>
        <row r="76">
          <cell r="A76">
            <v>72</v>
          </cell>
          <cell r="F76">
            <v>9.0162995235766596E-6</v>
          </cell>
        </row>
        <row r="77">
          <cell r="A77">
            <v>73</v>
          </cell>
          <cell r="F77">
            <v>8.2046600633524369E-6</v>
          </cell>
        </row>
        <row r="78">
          <cell r="A78">
            <v>74</v>
          </cell>
          <cell r="F78">
            <v>7.4660978123426702E-6</v>
          </cell>
        </row>
        <row r="79">
          <cell r="A79">
            <v>75</v>
          </cell>
          <cell r="F79">
            <v>6.7940307224272772E-6</v>
          </cell>
        </row>
        <row r="80">
          <cell r="A80">
            <v>76</v>
          </cell>
          <cell r="F80">
            <v>6.182470006665941E-6</v>
          </cell>
        </row>
        <row r="81">
          <cell r="A81">
            <v>77</v>
          </cell>
          <cell r="F81">
            <v>5.6259665949850296E-6</v>
          </cell>
        </row>
        <row r="82">
          <cell r="A82">
            <v>78</v>
          </cell>
          <cell r="F82">
            <v>5.1195624348066709E-6</v>
          </cell>
        </row>
        <row r="83">
          <cell r="A83">
            <v>79</v>
          </cell>
          <cell r="F83">
            <v>4.6587461960800186E-6</v>
          </cell>
        </row>
        <row r="84">
          <cell r="A84">
            <v>80</v>
          </cell>
          <cell r="F84">
            <v>4.2394129806735958E-6</v>
          </cell>
        </row>
        <row r="85">
          <cell r="A85">
            <v>81</v>
          </cell>
          <cell r="F85">
            <v>3.8578276726052713E-6</v>
          </cell>
        </row>
        <row r="86">
          <cell r="A86">
            <v>82</v>
          </cell>
          <cell r="F86">
            <v>3.5105915989642328E-6</v>
          </cell>
        </row>
        <row r="87">
          <cell r="A87">
            <v>83</v>
          </cell>
          <cell r="F87">
            <v>3.1946122014386152E-6</v>
          </cell>
        </row>
        <row r="88">
          <cell r="A88">
            <v>84</v>
          </cell>
          <cell r="F88">
            <v>2.9070754457658637E-6</v>
          </cell>
        </row>
        <row r="89">
          <cell r="A89">
            <v>85</v>
          </cell>
          <cell r="F89">
            <v>2.6454207212346648E-6</v>
          </cell>
        </row>
        <row r="90">
          <cell r="A90">
            <v>86</v>
          </cell>
          <cell r="F90">
            <v>2.4073180049863363E-6</v>
          </cell>
        </row>
        <row r="91">
          <cell r="A91">
            <v>87</v>
          </cell>
          <cell r="F91">
            <v>2.1906470862621819E-6</v>
          </cell>
        </row>
        <row r="92">
          <cell r="A92">
            <v>88</v>
          </cell>
          <cell r="F92">
            <v>1.9934786643829167E-6</v>
          </cell>
        </row>
        <row r="93">
          <cell r="A93">
            <v>89</v>
          </cell>
          <cell r="F93">
            <v>1.8140571511841147E-6</v>
          </cell>
        </row>
        <row r="94">
          <cell r="A94">
            <v>90</v>
          </cell>
          <cell r="F94">
            <v>1.6507850239266819E-6</v>
          </cell>
        </row>
        <row r="95">
          <cell r="A95">
            <v>91</v>
          </cell>
          <cell r="F95">
            <v>1.5022085886468028E-6</v>
          </cell>
        </row>
        <row r="96">
          <cell r="A96">
            <v>92</v>
          </cell>
          <cell r="F96">
            <v>1.3670050266895162E-6</v>
          </cell>
        </row>
        <row r="97">
          <cell r="A97">
            <v>93</v>
          </cell>
          <cell r="F97">
            <v>1.2439706085550645E-6</v>
          </cell>
        </row>
        <row r="98">
          <cell r="A98">
            <v>94</v>
          </cell>
          <cell r="F98">
            <v>1.1320099697793851E-6</v>
          </cell>
        </row>
        <row r="99">
          <cell r="A99">
            <v>95</v>
          </cell>
          <cell r="F99">
            <v>1.0301263530226173E-6</v>
          </cell>
        </row>
        <row r="100">
          <cell r="A100">
            <v>96</v>
          </cell>
          <cell r="F100">
            <v>9.37412729263426E-7</v>
          </cell>
        </row>
        <row r="101">
          <cell r="A101">
            <v>97</v>
          </cell>
          <cell r="F101">
            <v>8.530437187667661E-7</v>
          </cell>
        </row>
        <row r="102">
          <cell r="A102">
            <v>98</v>
          </cell>
          <cell r="F102">
            <v>7.7626823978896309E-7</v>
          </cell>
        </row>
        <row r="103">
          <cell r="A103">
            <v>99</v>
          </cell>
          <cell r="F103">
            <v>7.0640281938511018E-7</v>
          </cell>
        </row>
        <row r="104">
          <cell r="A104">
            <v>100</v>
          </cell>
          <cell r="F104">
            <v>6.428255066512345E-7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E418-1FFA-4CDE-9AE4-A6A0A94E2E30}">
  <sheetPr>
    <tabColor rgb="FFFFFF00"/>
  </sheetPr>
  <dimension ref="B1:V31"/>
  <sheetViews>
    <sheetView workbookViewId="0">
      <pane ySplit="1" topLeftCell="A2" activePane="bottomLeft" state="frozen"/>
      <selection pane="bottomLeft" activeCell="B1" sqref="B1"/>
    </sheetView>
  </sheetViews>
  <sheetFormatPr defaultColWidth="8.796875" defaultRowHeight="14.25" x14ac:dyDescent="0.45"/>
  <cols>
    <col min="1" max="1" width="2.73046875" customWidth="1"/>
    <col min="20" max="23" width="10.73046875" customWidth="1"/>
  </cols>
  <sheetData>
    <row r="1" spans="2:22" s="195" customFormat="1" ht="20.2" customHeight="1" x14ac:dyDescent="0.45">
      <c r="B1" s="1" t="s">
        <v>286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3" spans="2:22" s="9" customFormat="1" ht="21" x14ac:dyDescent="0.65">
      <c r="B3" s="275" t="s">
        <v>226</v>
      </c>
    </row>
    <row r="4" spans="2:22" s="37" customFormat="1" ht="18" x14ac:dyDescent="0.55000000000000004"/>
    <row r="5" spans="2:22" s="37" customFormat="1" ht="21" x14ac:dyDescent="0.65">
      <c r="B5" s="37" t="s">
        <v>227</v>
      </c>
    </row>
    <row r="6" spans="2:22" s="37" customFormat="1" ht="18" x14ac:dyDescent="0.55000000000000004">
      <c r="C6" s="37" t="s">
        <v>228</v>
      </c>
    </row>
    <row r="7" spans="2:22" s="37" customFormat="1" ht="18" x14ac:dyDescent="0.55000000000000004">
      <c r="D7" s="37" t="s">
        <v>229</v>
      </c>
    </row>
    <row r="8" spans="2:22" s="37" customFormat="1" ht="18" x14ac:dyDescent="0.55000000000000004">
      <c r="D8" s="37" t="s">
        <v>230</v>
      </c>
    </row>
    <row r="9" spans="2:22" s="37" customFormat="1" ht="18" x14ac:dyDescent="0.55000000000000004">
      <c r="D9" s="37" t="s">
        <v>231</v>
      </c>
    </row>
    <row r="10" spans="2:22" s="37" customFormat="1" ht="18" x14ac:dyDescent="0.55000000000000004">
      <c r="E10" s="37" t="s">
        <v>232</v>
      </c>
    </row>
    <row r="11" spans="2:22" s="37" customFormat="1" ht="18" x14ac:dyDescent="0.55000000000000004">
      <c r="D11" s="37" t="s">
        <v>233</v>
      </c>
    </row>
    <row r="12" spans="2:22" s="37" customFormat="1" ht="18" x14ac:dyDescent="0.55000000000000004">
      <c r="D12" s="37" t="s">
        <v>234</v>
      </c>
    </row>
    <row r="13" spans="2:22" s="37" customFormat="1" ht="18" x14ac:dyDescent="0.55000000000000004">
      <c r="C13" s="37" t="s">
        <v>235</v>
      </c>
    </row>
    <row r="14" spans="2:22" s="37" customFormat="1" ht="18" x14ac:dyDescent="0.55000000000000004">
      <c r="C14" s="37" t="s">
        <v>236</v>
      </c>
      <c r="T14"/>
      <c r="U14"/>
      <c r="V14"/>
    </row>
    <row r="15" spans="2:22" s="37" customFormat="1" ht="18" x14ac:dyDescent="0.55000000000000004">
      <c r="S15"/>
      <c r="T15"/>
      <c r="U15"/>
      <c r="V15"/>
    </row>
    <row r="16" spans="2:22" s="37" customFormat="1" ht="21" x14ac:dyDescent="0.65">
      <c r="B16" s="37" t="s">
        <v>237</v>
      </c>
      <c r="S16"/>
      <c r="T16"/>
      <c r="U16"/>
      <c r="V16"/>
    </row>
    <row r="17" spans="2:22" s="37" customFormat="1" ht="18" x14ac:dyDescent="0.55000000000000004">
      <c r="C17" s="37" t="s">
        <v>238</v>
      </c>
      <c r="S17"/>
      <c r="T17"/>
      <c r="U17"/>
      <c r="V17"/>
    </row>
    <row r="18" spans="2:22" s="37" customFormat="1" ht="18" x14ac:dyDescent="0.55000000000000004">
      <c r="C18" s="37" t="s">
        <v>239</v>
      </c>
      <c r="S18"/>
      <c r="T18"/>
      <c r="U18"/>
      <c r="V18"/>
    </row>
    <row r="19" spans="2:22" s="37" customFormat="1" ht="18.399999999999999" thickBot="1" x14ac:dyDescent="0.6">
      <c r="S19"/>
      <c r="T19"/>
      <c r="U19"/>
      <c r="V19"/>
    </row>
    <row r="20" spans="2:22" ht="18.399999999999999" thickBot="1" x14ac:dyDescent="0.6">
      <c r="C20" s="394" t="s">
        <v>240</v>
      </c>
      <c r="D20" s="395"/>
      <c r="E20" s="395"/>
      <c r="F20" s="396"/>
    </row>
    <row r="21" spans="2:22" ht="18" x14ac:dyDescent="0.55000000000000004">
      <c r="C21" s="96"/>
      <c r="D21" s="394" t="s">
        <v>241</v>
      </c>
      <c r="E21" s="395"/>
      <c r="F21" s="396"/>
    </row>
    <row r="22" spans="2:22" ht="18.399999999999999" thickBot="1" x14ac:dyDescent="0.6">
      <c r="C22" s="276" t="s">
        <v>7</v>
      </c>
      <c r="D22" s="277">
        <v>0.05</v>
      </c>
      <c r="E22" s="278">
        <v>0.01</v>
      </c>
      <c r="F22" s="279">
        <v>1E-3</v>
      </c>
    </row>
    <row r="23" spans="2:22" ht="18" x14ac:dyDescent="0.55000000000000004">
      <c r="C23" s="280">
        <v>1</v>
      </c>
      <c r="D23" s="281">
        <v>3.8410000000000002</v>
      </c>
      <c r="E23" s="282">
        <v>6.6349999999999998</v>
      </c>
      <c r="F23" s="283">
        <v>10.827999999999999</v>
      </c>
    </row>
    <row r="24" spans="2:22" ht="18" x14ac:dyDescent="0.55000000000000004">
      <c r="C24" s="280">
        <v>2</v>
      </c>
      <c r="D24" s="284">
        <v>5.9909999999999997</v>
      </c>
      <c r="E24" s="39">
        <v>9.2100000000000009</v>
      </c>
      <c r="F24" s="85">
        <v>13.816000000000001</v>
      </c>
    </row>
    <row r="25" spans="2:22" ht="18.399999999999999" thickBot="1" x14ac:dyDescent="0.6">
      <c r="C25" s="285">
        <v>3</v>
      </c>
      <c r="D25" s="286">
        <v>7.8150000000000004</v>
      </c>
      <c r="E25" s="287">
        <v>11.345000000000001</v>
      </c>
      <c r="F25" s="288">
        <v>16.265999999999998</v>
      </c>
    </row>
    <row r="27" spans="2:22" s="3" customFormat="1" ht="21" x14ac:dyDescent="0.65">
      <c r="B27" s="289" t="s">
        <v>242</v>
      </c>
    </row>
    <row r="28" spans="2:22" s="9" customFormat="1" ht="21" x14ac:dyDescent="0.65"/>
    <row r="29" spans="2:22" s="9" customFormat="1" ht="21" x14ac:dyDescent="0.65">
      <c r="B29" s="9" t="s">
        <v>243</v>
      </c>
    </row>
    <row r="31" spans="2:22" ht="21" x14ac:dyDescent="0.65">
      <c r="B31" s="9" t="s">
        <v>249</v>
      </c>
    </row>
  </sheetData>
  <mergeCells count="2">
    <mergeCell ref="C20:F20"/>
    <mergeCell ref="D21:F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8C2D-889E-4C95-8793-42CF84AF0FAC}">
  <sheetPr>
    <tabColor rgb="FFFF40FF"/>
  </sheetPr>
  <dimension ref="B1:K58"/>
  <sheetViews>
    <sheetView topLeftCell="B1" workbookViewId="0">
      <pane ySplit="2" topLeftCell="A7" activePane="bottomLeft" state="frozen"/>
      <selection pane="bottomLeft" activeCell="D50" sqref="D50"/>
    </sheetView>
  </sheetViews>
  <sheetFormatPr defaultRowHeight="14.25" x14ac:dyDescent="0.45"/>
  <cols>
    <col min="1" max="1" width="2.53125" customWidth="1"/>
    <col min="2" max="6" width="12.53125" customWidth="1"/>
    <col min="9" max="11" width="15.53125" customWidth="1"/>
  </cols>
  <sheetData>
    <row r="1" spans="2:11" x14ac:dyDescent="0.45">
      <c r="B1" s="1" t="s">
        <v>286</v>
      </c>
      <c r="C1" s="2"/>
      <c r="D1" s="2"/>
      <c r="E1" s="2"/>
      <c r="F1" s="2"/>
      <c r="G1" s="2"/>
      <c r="H1" s="2"/>
      <c r="I1" s="2"/>
    </row>
    <row r="2" spans="2:11" s="3" customFormat="1" ht="21" x14ac:dyDescent="0.65">
      <c r="B2" s="397" t="s">
        <v>150</v>
      </c>
      <c r="C2" s="397"/>
      <c r="D2" s="397"/>
      <c r="E2" s="397"/>
      <c r="F2" s="397"/>
      <c r="G2" s="397"/>
      <c r="H2" s="397"/>
      <c r="I2" s="397"/>
      <c r="J2" s="33"/>
      <c r="K2" s="33"/>
    </row>
    <row r="3" spans="2:11" s="3" customFormat="1" ht="21.4" thickBot="1" x14ac:dyDescent="0.7"/>
    <row r="4" spans="2:11" s="37" customFormat="1" ht="18.399999999999999" thickBot="1" x14ac:dyDescent="0.6">
      <c r="C4" s="5" t="s">
        <v>0</v>
      </c>
      <c r="D4" s="6" t="s">
        <v>1</v>
      </c>
      <c r="E4" s="7" t="s">
        <v>2</v>
      </c>
      <c r="F4" s="8" t="s">
        <v>3</v>
      </c>
    </row>
    <row r="5" spans="2:11" s="37" customFormat="1" ht="18" x14ac:dyDescent="0.55000000000000004">
      <c r="C5" s="324">
        <v>7.2</v>
      </c>
      <c r="D5" s="325">
        <v>8.8000000000000007</v>
      </c>
      <c r="E5" s="37">
        <f>C5^2</f>
        <v>51.84</v>
      </c>
      <c r="F5" s="37">
        <f>D5^2</f>
        <v>77.440000000000012</v>
      </c>
    </row>
    <row r="6" spans="2:11" s="37" customFormat="1" ht="18" x14ac:dyDescent="0.55000000000000004">
      <c r="C6" s="326">
        <v>7.1</v>
      </c>
      <c r="D6" s="327">
        <v>7.5</v>
      </c>
      <c r="E6" s="37">
        <f t="shared" ref="E6:F11" si="0">C6^2</f>
        <v>50.41</v>
      </c>
      <c r="F6" s="37">
        <f t="shared" si="0"/>
        <v>56.25</v>
      </c>
    </row>
    <row r="7" spans="2:11" s="37" customFormat="1" ht="18" x14ac:dyDescent="0.55000000000000004">
      <c r="C7" s="326">
        <v>9.1</v>
      </c>
      <c r="D7" s="327">
        <v>7.7</v>
      </c>
      <c r="E7" s="37">
        <f t="shared" si="0"/>
        <v>82.809999999999988</v>
      </c>
      <c r="F7" s="37">
        <f t="shared" si="0"/>
        <v>59.290000000000006</v>
      </c>
    </row>
    <row r="8" spans="2:11" s="37" customFormat="1" ht="18" x14ac:dyDescent="0.55000000000000004">
      <c r="C8" s="326">
        <v>7.2</v>
      </c>
      <c r="D8" s="327">
        <v>7.6</v>
      </c>
      <c r="E8" s="37">
        <f t="shared" si="0"/>
        <v>51.84</v>
      </c>
      <c r="F8" s="37">
        <f t="shared" si="0"/>
        <v>57.76</v>
      </c>
    </row>
    <row r="9" spans="2:11" s="37" customFormat="1" ht="18" x14ac:dyDescent="0.55000000000000004">
      <c r="C9" s="326">
        <v>7.3</v>
      </c>
      <c r="D9" s="327">
        <v>7.4</v>
      </c>
      <c r="E9" s="37">
        <f t="shared" si="0"/>
        <v>53.29</v>
      </c>
      <c r="F9" s="37">
        <f t="shared" si="0"/>
        <v>54.760000000000005</v>
      </c>
    </row>
    <row r="10" spans="2:11" s="37" customFormat="1" ht="18" x14ac:dyDescent="0.55000000000000004">
      <c r="C10" s="326">
        <v>7.2</v>
      </c>
      <c r="D10" s="327">
        <v>6.7</v>
      </c>
      <c r="E10" s="37">
        <f t="shared" si="0"/>
        <v>51.84</v>
      </c>
      <c r="F10" s="37">
        <f t="shared" si="0"/>
        <v>44.89</v>
      </c>
    </row>
    <row r="11" spans="2:11" s="37" customFormat="1" ht="18" x14ac:dyDescent="0.55000000000000004">
      <c r="C11" s="326">
        <v>7.5</v>
      </c>
      <c r="D11" s="327">
        <v>7.2</v>
      </c>
      <c r="E11" s="37">
        <f t="shared" si="0"/>
        <v>56.25</v>
      </c>
      <c r="F11" s="37">
        <f t="shared" si="0"/>
        <v>51.84</v>
      </c>
    </row>
    <row r="12" spans="2:11" s="37" customFormat="1" ht="18" x14ac:dyDescent="0.55000000000000004">
      <c r="C12" s="35"/>
      <c r="D12" s="36"/>
    </row>
    <row r="13" spans="2:11" s="37" customFormat="1" ht="18" hidden="1" x14ac:dyDescent="0.55000000000000004">
      <c r="C13" s="35"/>
      <c r="D13" s="36"/>
    </row>
    <row r="14" spans="2:11" s="37" customFormat="1" ht="18" hidden="1" x14ac:dyDescent="0.55000000000000004">
      <c r="C14" s="35"/>
      <c r="D14" s="36"/>
    </row>
    <row r="15" spans="2:11" s="37" customFormat="1" ht="18" hidden="1" x14ac:dyDescent="0.55000000000000004">
      <c r="C15" s="35"/>
      <c r="D15" s="36"/>
    </row>
    <row r="16" spans="2:11" s="37" customFormat="1" ht="18" hidden="1" x14ac:dyDescent="0.55000000000000004">
      <c r="C16" s="35"/>
      <c r="D16" s="36"/>
    </row>
    <row r="17" spans="3:4" s="37" customFormat="1" ht="18" hidden="1" x14ac:dyDescent="0.55000000000000004">
      <c r="C17" s="35"/>
      <c r="D17" s="36"/>
    </row>
    <row r="18" spans="3:4" s="37" customFormat="1" ht="18" hidden="1" x14ac:dyDescent="0.55000000000000004">
      <c r="C18" s="35"/>
      <c r="D18" s="36"/>
    </row>
    <row r="19" spans="3:4" s="37" customFormat="1" ht="18" hidden="1" x14ac:dyDescent="0.55000000000000004">
      <c r="C19" s="35"/>
      <c r="D19" s="36"/>
    </row>
    <row r="20" spans="3:4" s="37" customFormat="1" ht="18" hidden="1" x14ac:dyDescent="0.55000000000000004">
      <c r="C20" s="35"/>
      <c r="D20" s="36"/>
    </row>
    <row r="21" spans="3:4" s="37" customFormat="1" ht="18" hidden="1" x14ac:dyDescent="0.55000000000000004">
      <c r="C21" s="35"/>
      <c r="D21" s="36"/>
    </row>
    <row r="22" spans="3:4" s="37" customFormat="1" ht="18" hidden="1" x14ac:dyDescent="0.55000000000000004">
      <c r="C22" s="35"/>
      <c r="D22" s="36"/>
    </row>
    <row r="23" spans="3:4" s="37" customFormat="1" ht="18" hidden="1" x14ac:dyDescent="0.55000000000000004">
      <c r="C23" s="35"/>
      <c r="D23" s="36"/>
    </row>
    <row r="24" spans="3:4" s="37" customFormat="1" ht="18" hidden="1" x14ac:dyDescent="0.55000000000000004">
      <c r="C24" s="35"/>
      <c r="D24" s="36"/>
    </row>
    <row r="25" spans="3:4" s="37" customFormat="1" ht="18" hidden="1" x14ac:dyDescent="0.55000000000000004">
      <c r="C25" s="35"/>
      <c r="D25" s="36"/>
    </row>
    <row r="26" spans="3:4" s="37" customFormat="1" ht="18" hidden="1" x14ac:dyDescent="0.55000000000000004">
      <c r="C26" s="35"/>
      <c r="D26" s="36"/>
    </row>
    <row r="27" spans="3:4" s="37" customFormat="1" ht="18" hidden="1" x14ac:dyDescent="0.55000000000000004">
      <c r="C27" s="35"/>
      <c r="D27" s="36"/>
    </row>
    <row r="28" spans="3:4" s="37" customFormat="1" ht="18" hidden="1" x14ac:dyDescent="0.55000000000000004">
      <c r="C28" s="35"/>
      <c r="D28" s="36"/>
    </row>
    <row r="29" spans="3:4" s="37" customFormat="1" ht="18" hidden="1" x14ac:dyDescent="0.55000000000000004">
      <c r="C29" s="35"/>
      <c r="D29" s="36"/>
    </row>
    <row r="30" spans="3:4" s="37" customFormat="1" ht="18" hidden="1" x14ac:dyDescent="0.55000000000000004">
      <c r="C30" s="35"/>
      <c r="D30" s="36"/>
    </row>
    <row r="31" spans="3:4" s="37" customFormat="1" ht="18" hidden="1" x14ac:dyDescent="0.55000000000000004">
      <c r="C31" s="35"/>
      <c r="D31" s="36"/>
    </row>
    <row r="32" spans="3:4" s="37" customFormat="1" ht="18" hidden="1" x14ac:dyDescent="0.55000000000000004">
      <c r="C32" s="35"/>
      <c r="D32" s="36"/>
    </row>
    <row r="33" spans="2:11" s="37" customFormat="1" ht="18" hidden="1" x14ac:dyDescent="0.55000000000000004">
      <c r="C33" s="35"/>
      <c r="D33" s="36"/>
    </row>
    <row r="34" spans="2:11" s="37" customFormat="1" ht="18" hidden="1" x14ac:dyDescent="0.55000000000000004">
      <c r="C34" s="35"/>
      <c r="D34" s="36"/>
    </row>
    <row r="35" spans="2:11" s="37" customFormat="1" ht="18" hidden="1" x14ac:dyDescent="0.55000000000000004">
      <c r="C35" s="35"/>
      <c r="D35" s="36"/>
    </row>
    <row r="36" spans="2:11" s="37" customFormat="1" ht="18" hidden="1" x14ac:dyDescent="0.55000000000000004">
      <c r="C36" s="35"/>
      <c r="D36" s="36"/>
    </row>
    <row r="37" spans="2:11" s="37" customFormat="1" ht="18" hidden="1" x14ac:dyDescent="0.55000000000000004">
      <c r="C37" s="35"/>
      <c r="D37" s="36"/>
    </row>
    <row r="38" spans="2:11" s="37" customFormat="1" ht="18" hidden="1" x14ac:dyDescent="0.55000000000000004">
      <c r="C38" s="35"/>
      <c r="D38" s="36"/>
    </row>
    <row r="39" spans="2:11" s="37" customFormat="1" ht="18" x14ac:dyDescent="0.55000000000000004">
      <c r="C39" s="35"/>
      <c r="D39" s="36"/>
    </row>
    <row r="40" spans="2:11" s="9" customFormat="1" ht="21" x14ac:dyDescent="0.65">
      <c r="B40" s="3" t="s">
        <v>4</v>
      </c>
      <c r="C40" s="9">
        <f>COUNT(C5:C11)</f>
        <v>7</v>
      </c>
      <c r="D40" s="9">
        <f>COUNT(D5:D11)</f>
        <v>7</v>
      </c>
    </row>
    <row r="41" spans="2:11" s="9" customFormat="1" ht="21" x14ac:dyDescent="0.65">
      <c r="B41" s="3" t="s">
        <v>5</v>
      </c>
      <c r="C41" s="9">
        <f>SUM(C5:C39)</f>
        <v>52.6</v>
      </c>
      <c r="D41" s="9">
        <f>SUM(D5:D39)</f>
        <v>52.900000000000006</v>
      </c>
      <c r="E41" s="9">
        <f>SUM(E5:E40)</f>
        <v>398.28</v>
      </c>
      <c r="F41" s="9">
        <f>SUM(F5:F40)</f>
        <v>402.23</v>
      </c>
    </row>
    <row r="42" spans="2:11" s="9" customFormat="1" ht="21.4" thickBot="1" x14ac:dyDescent="0.7">
      <c r="B42" s="3" t="s">
        <v>6</v>
      </c>
      <c r="C42" s="10">
        <f>C41 / C40</f>
        <v>7.5142857142857142</v>
      </c>
      <c r="D42" s="10">
        <f>D41 / D40</f>
        <v>7.5571428571428578</v>
      </c>
    </row>
    <row r="43" spans="2:11" s="9" customFormat="1" ht="21.4" thickBot="1" x14ac:dyDescent="0.7">
      <c r="H43" s="11" t="s">
        <v>7</v>
      </c>
      <c r="I43" s="12" t="s">
        <v>8</v>
      </c>
      <c r="J43" s="12" t="s">
        <v>9</v>
      </c>
      <c r="K43" s="273" t="s">
        <v>10</v>
      </c>
    </row>
    <row r="44" spans="2:11" s="9" customFormat="1" ht="21" x14ac:dyDescent="0.65">
      <c r="B44" s="14">
        <v>1</v>
      </c>
      <c r="C44" s="9" t="s">
        <v>11</v>
      </c>
      <c r="D44" s="9">
        <f xml:space="preserve"> C41 + D41</f>
        <v>105.5</v>
      </c>
      <c r="F44" s="15" t="s">
        <v>12</v>
      </c>
      <c r="G44" s="16"/>
      <c r="H44" s="17">
        <v>1</v>
      </c>
      <c r="I44" s="18">
        <f>D49</f>
        <v>6.4285714287279916E-3</v>
      </c>
      <c r="J44" s="18">
        <f>I44 / H44</f>
        <v>6.4285714287279916E-3</v>
      </c>
      <c r="K44" s="228">
        <f xml:space="preserve"> J44 / J45</f>
        <v>1.4062500000342823E-2</v>
      </c>
    </row>
    <row r="45" spans="2:11" s="9" customFormat="1" ht="21" x14ac:dyDescent="0.65">
      <c r="B45" s="14">
        <v>2</v>
      </c>
      <c r="C45" s="9" t="s">
        <v>13</v>
      </c>
      <c r="D45" s="9">
        <f>E41 + F41</f>
        <v>800.51</v>
      </c>
      <c r="F45" s="19" t="s">
        <v>14</v>
      </c>
      <c r="G45" s="20"/>
      <c r="H45" s="21">
        <f>(C40 +D40) - 2</f>
        <v>12</v>
      </c>
      <c r="I45" s="22">
        <f>D50</f>
        <v>5.4857142857141525</v>
      </c>
      <c r="J45" s="22">
        <f xml:space="preserve"> I45 / H45</f>
        <v>0.45714285714284603</v>
      </c>
      <c r="K45" s="23"/>
    </row>
    <row r="46" spans="2:11" s="9" customFormat="1" ht="21.4" thickBot="1" x14ac:dyDescent="0.7">
      <c r="B46" s="14">
        <v>3</v>
      </c>
      <c r="C46" s="9" t="s">
        <v>15</v>
      </c>
      <c r="D46" s="9">
        <f>((C41^2) + (D41^2))/C40</f>
        <v>795.02428571428584</v>
      </c>
      <c r="F46" s="24" t="s">
        <v>11</v>
      </c>
      <c r="G46" s="25"/>
      <c r="H46" s="26">
        <f>H44+H45</f>
        <v>13</v>
      </c>
      <c r="I46" s="27">
        <f xml:space="preserve"> I44 + I45</f>
        <v>5.4921428571428805</v>
      </c>
      <c r="J46" s="27"/>
      <c r="K46" s="28"/>
    </row>
    <row r="47" spans="2:11" s="9" customFormat="1" ht="21" x14ac:dyDescent="0.65">
      <c r="B47" s="14">
        <v>4</v>
      </c>
      <c r="C47" s="272" t="s">
        <v>16</v>
      </c>
      <c r="D47" s="271">
        <f xml:space="preserve"> D44^2 / (C40 + D40)</f>
        <v>795.01785714285711</v>
      </c>
    </row>
    <row r="48" spans="2:11" s="9" customFormat="1" ht="21" x14ac:dyDescent="0.65">
      <c r="B48" s="14">
        <v>5</v>
      </c>
      <c r="C48" s="9" t="s">
        <v>17</v>
      </c>
      <c r="D48" s="9">
        <f xml:space="preserve"> D45 - D47</f>
        <v>5.4921428571428805</v>
      </c>
      <c r="F48" s="9" t="s">
        <v>225</v>
      </c>
    </row>
    <row r="49" spans="2:8" s="9" customFormat="1" ht="21" x14ac:dyDescent="0.65">
      <c r="B49" s="14">
        <v>6</v>
      </c>
      <c r="C49" s="9" t="s">
        <v>18</v>
      </c>
      <c r="D49" s="9">
        <f xml:space="preserve"> D46 - D47</f>
        <v>6.4285714287279916E-3</v>
      </c>
    </row>
    <row r="50" spans="2:8" s="9" customFormat="1" ht="21" x14ac:dyDescent="0.65">
      <c r="B50" s="14">
        <v>7</v>
      </c>
      <c r="C50" s="9" t="s">
        <v>19</v>
      </c>
      <c r="D50" s="9">
        <f xml:space="preserve"> D48 - D49</f>
        <v>5.4857142857141525</v>
      </c>
    </row>
    <row r="52" spans="2:8" x14ac:dyDescent="0.45">
      <c r="B52" t="s">
        <v>20</v>
      </c>
    </row>
    <row r="53" spans="2:8" ht="14.65" thickBot="1" x14ac:dyDescent="0.5"/>
    <row r="54" spans="2:8" ht="18" x14ac:dyDescent="0.55000000000000004">
      <c r="C54" s="290" t="s">
        <v>94</v>
      </c>
      <c r="D54" s="100">
        <v>44</v>
      </c>
      <c r="E54" s="100">
        <v>13</v>
      </c>
      <c r="F54" s="100">
        <v>5</v>
      </c>
      <c r="G54" s="81">
        <v>38</v>
      </c>
      <c r="H54" s="101">
        <v>7.7211921000284169</v>
      </c>
    </row>
    <row r="55" spans="2:8" ht="18.399999999999999" thickBot="1" x14ac:dyDescent="0.6">
      <c r="C55" s="291" t="s">
        <v>244</v>
      </c>
      <c r="D55" s="80">
        <v>36</v>
      </c>
      <c r="E55" s="80">
        <v>23</v>
      </c>
      <c r="F55" s="80">
        <v>8</v>
      </c>
      <c r="G55" s="99">
        <v>34</v>
      </c>
      <c r="H55" s="296">
        <v>11.367905778432094</v>
      </c>
    </row>
    <row r="56" spans="2:8" ht="18.399999999999999" thickBot="1" x14ac:dyDescent="0.6">
      <c r="H56" s="101"/>
    </row>
    <row r="57" spans="2:8" ht="18" x14ac:dyDescent="0.55000000000000004">
      <c r="C57" s="290" t="s">
        <v>94</v>
      </c>
      <c r="D57" s="100">
        <v>88</v>
      </c>
      <c r="E57" s="100">
        <v>26</v>
      </c>
      <c r="F57" s="100">
        <v>10</v>
      </c>
      <c r="G57" s="81">
        <v>76</v>
      </c>
      <c r="H57" s="101">
        <v>15.442384200056834</v>
      </c>
    </row>
    <row r="58" spans="2:8" ht="18.399999999999999" thickBot="1" x14ac:dyDescent="0.6">
      <c r="C58" s="291" t="s">
        <v>244</v>
      </c>
      <c r="D58" s="80">
        <v>72</v>
      </c>
      <c r="E58" s="80">
        <v>46</v>
      </c>
      <c r="F58" s="80">
        <v>16</v>
      </c>
      <c r="G58" s="99">
        <v>68</v>
      </c>
      <c r="H58" s="296">
        <v>22.735811556864189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24885-E52F-4195-8F53-D416177F4CEF}">
  <sheetPr>
    <tabColor rgb="FF00B050"/>
  </sheetPr>
  <dimension ref="B1:H13"/>
  <sheetViews>
    <sheetView tabSelected="1" workbookViewId="0">
      <pane ySplit="4" topLeftCell="A5" activePane="bottomLeft" state="frozen"/>
      <selection pane="bottomLeft" activeCell="E2" sqref="E2:H2"/>
    </sheetView>
  </sheetViews>
  <sheetFormatPr defaultRowHeight="14.25" x14ac:dyDescent="0.45"/>
  <cols>
    <col min="2" max="8" width="15.59765625" customWidth="1"/>
  </cols>
  <sheetData>
    <row r="1" spans="2:8" x14ac:dyDescent="0.45">
      <c r="B1" s="2" t="s">
        <v>286</v>
      </c>
      <c r="C1" s="2"/>
      <c r="D1" s="2"/>
      <c r="E1" s="2"/>
      <c r="F1" s="2"/>
      <c r="G1" s="2"/>
      <c r="H1" s="2"/>
    </row>
    <row r="2" spans="2:8" ht="21" x14ac:dyDescent="0.65">
      <c r="B2" s="9"/>
      <c r="C2" s="437" t="s">
        <v>287</v>
      </c>
      <c r="D2" s="437"/>
      <c r="E2" s="438" t="s">
        <v>274</v>
      </c>
      <c r="F2" s="438"/>
      <c r="G2" s="438"/>
      <c r="H2" s="438"/>
    </row>
    <row r="3" spans="2:8" ht="21" x14ac:dyDescent="0.65">
      <c r="B3" s="9"/>
      <c r="C3" s="9"/>
      <c r="D3" s="9"/>
      <c r="E3" s="384" t="s">
        <v>275</v>
      </c>
      <c r="F3" s="385" t="s">
        <v>276</v>
      </c>
      <c r="G3" s="384" t="s">
        <v>277</v>
      </c>
      <c r="H3" s="384" t="s">
        <v>278</v>
      </c>
    </row>
    <row r="4" spans="2:8" ht="21" x14ac:dyDescent="0.65">
      <c r="B4" s="386" t="s">
        <v>279</v>
      </c>
      <c r="C4" s="387" t="s">
        <v>280</v>
      </c>
      <c r="D4" s="198" t="s">
        <v>281</v>
      </c>
      <c r="E4" s="388" t="s">
        <v>282</v>
      </c>
      <c r="F4" s="388" t="s">
        <v>283</v>
      </c>
      <c r="G4" s="388" t="s">
        <v>284</v>
      </c>
      <c r="H4" s="388" t="s">
        <v>285</v>
      </c>
    </row>
    <row r="5" spans="2:8" ht="21" x14ac:dyDescent="0.65">
      <c r="B5" s="389">
        <v>0.999</v>
      </c>
      <c r="C5" s="389">
        <v>0.99</v>
      </c>
      <c r="D5" s="390">
        <v>1E-3</v>
      </c>
      <c r="E5" s="391">
        <f xml:space="preserve"> (F5 * G5) / H5</f>
        <v>9.0909090909090842E-2</v>
      </c>
      <c r="F5" s="22">
        <f>B5</f>
        <v>0.999</v>
      </c>
      <c r="G5" s="22">
        <f>D5</f>
        <v>1E-3</v>
      </c>
      <c r="H5" s="22">
        <f xml:space="preserve"> (B5 * D5) + (1 - C5)*(1 - D5)</f>
        <v>1.0989000000000009E-2</v>
      </c>
    </row>
    <row r="6" spans="2:8" ht="21" x14ac:dyDescent="0.65">
      <c r="B6" s="392">
        <v>0.999</v>
      </c>
      <c r="C6" s="392">
        <v>0.99</v>
      </c>
      <c r="D6" s="392">
        <v>5.0000000000000001E-3</v>
      </c>
      <c r="E6" s="391">
        <f xml:space="preserve"> (F6 * G6) / H6</f>
        <v>0.33422549347607877</v>
      </c>
      <c r="F6" s="22">
        <f>B6</f>
        <v>0.999</v>
      </c>
      <c r="G6" s="22">
        <f>D6</f>
        <v>5.0000000000000001E-3</v>
      </c>
      <c r="H6" s="22">
        <f xml:space="preserve"> (B6 * D6) + (1 - C6)*(1 - D6)</f>
        <v>1.494500000000001E-2</v>
      </c>
    </row>
    <row r="7" spans="2:8" ht="21" x14ac:dyDescent="0.65">
      <c r="B7" s="390">
        <v>1</v>
      </c>
      <c r="C7" s="389">
        <v>0.99</v>
      </c>
      <c r="D7" s="389">
        <v>5.0000000000000001E-3</v>
      </c>
      <c r="E7" s="391">
        <f t="shared" ref="E7:E13" si="0" xml:space="preserve"> (F7 * G7) / H7</f>
        <v>0.33444816053511689</v>
      </c>
      <c r="F7" s="22">
        <f t="shared" ref="F7:F13" si="1">B7</f>
        <v>1</v>
      </c>
      <c r="G7" s="22">
        <f t="shared" ref="G7:G13" si="2">D7</f>
        <v>5.0000000000000001E-3</v>
      </c>
      <c r="H7" s="22">
        <f t="shared" ref="H7:H13" si="3" xml:space="preserve"> (B7 * D7) + (1 - C7)*(1 - D7)</f>
        <v>1.4950000000000008E-2</v>
      </c>
    </row>
    <row r="8" spans="2:8" ht="21" x14ac:dyDescent="0.65">
      <c r="B8" s="389">
        <v>0.999</v>
      </c>
      <c r="C8" s="390">
        <v>0.995</v>
      </c>
      <c r="D8" s="389">
        <v>5.0000000000000001E-3</v>
      </c>
      <c r="E8" s="391">
        <f t="shared" si="0"/>
        <v>0.50100300902708106</v>
      </c>
      <c r="F8" s="22">
        <f t="shared" si="1"/>
        <v>0.999</v>
      </c>
      <c r="G8" s="22">
        <f t="shared" si="2"/>
        <v>5.0000000000000001E-3</v>
      </c>
      <c r="H8" s="22">
        <f t="shared" si="3"/>
        <v>9.9700000000000049E-3</v>
      </c>
    </row>
    <row r="9" spans="2:8" ht="21" x14ac:dyDescent="0.65">
      <c r="B9" s="389">
        <v>0.999</v>
      </c>
      <c r="C9" s="390">
        <v>0.999</v>
      </c>
      <c r="D9" s="389">
        <v>5.0000000000000001E-3</v>
      </c>
      <c r="E9" s="391">
        <f t="shared" si="0"/>
        <v>0.83388981636060089</v>
      </c>
      <c r="F9" s="22">
        <f t="shared" si="1"/>
        <v>0.999</v>
      </c>
      <c r="G9" s="22">
        <f t="shared" si="2"/>
        <v>5.0000000000000001E-3</v>
      </c>
      <c r="H9" s="22">
        <f t="shared" si="3"/>
        <v>5.9900000000000014E-3</v>
      </c>
    </row>
    <row r="10" spans="2:8" ht="21" x14ac:dyDescent="0.65">
      <c r="B10" s="389">
        <v>0.999</v>
      </c>
      <c r="C10" s="389">
        <v>0.99</v>
      </c>
      <c r="D10" s="390">
        <v>0.01</v>
      </c>
      <c r="E10" s="391">
        <f t="shared" si="0"/>
        <v>0.5022624434389138</v>
      </c>
      <c r="F10" s="22">
        <f t="shared" si="1"/>
        <v>0.999</v>
      </c>
      <c r="G10" s="22">
        <f t="shared" si="2"/>
        <v>0.01</v>
      </c>
      <c r="H10" s="22">
        <f t="shared" si="3"/>
        <v>1.9890000000000012E-2</v>
      </c>
    </row>
    <row r="11" spans="2:8" ht="21" x14ac:dyDescent="0.65">
      <c r="B11" s="389">
        <v>0.999</v>
      </c>
      <c r="C11" s="389">
        <v>0.99</v>
      </c>
      <c r="D11" s="390">
        <v>0.1</v>
      </c>
      <c r="E11" s="391">
        <f t="shared" si="0"/>
        <v>0.91735537190082639</v>
      </c>
      <c r="F11" s="22">
        <f t="shared" si="1"/>
        <v>0.999</v>
      </c>
      <c r="G11" s="22">
        <f t="shared" si="2"/>
        <v>0.1</v>
      </c>
      <c r="H11" s="22">
        <f t="shared" si="3"/>
        <v>0.10890000000000001</v>
      </c>
    </row>
    <row r="12" spans="2:8" ht="21" x14ac:dyDescent="0.65">
      <c r="B12" s="389">
        <v>0.999</v>
      </c>
      <c r="C12" s="390">
        <v>0.995</v>
      </c>
      <c r="D12" s="390">
        <v>0.1</v>
      </c>
      <c r="E12" s="391">
        <f t="shared" si="0"/>
        <v>0.9568965517241379</v>
      </c>
      <c r="F12" s="22">
        <f t="shared" si="1"/>
        <v>0.999</v>
      </c>
      <c r="G12" s="22">
        <f t="shared" si="2"/>
        <v>0.1</v>
      </c>
      <c r="H12" s="22">
        <f t="shared" si="3"/>
        <v>0.10440000000000001</v>
      </c>
    </row>
    <row r="13" spans="2:8" ht="21" x14ac:dyDescent="0.65">
      <c r="B13" s="389">
        <v>0.99</v>
      </c>
      <c r="C13" s="390">
        <v>0.9</v>
      </c>
      <c r="D13" s="390">
        <v>0.1</v>
      </c>
      <c r="E13" s="391">
        <f t="shared" si="0"/>
        <v>0.52380952380952384</v>
      </c>
      <c r="F13" s="22">
        <f t="shared" si="1"/>
        <v>0.99</v>
      </c>
      <c r="G13" s="22">
        <f t="shared" si="2"/>
        <v>0.1</v>
      </c>
      <c r="H13" s="22">
        <f t="shared" si="3"/>
        <v>0.189</v>
      </c>
    </row>
  </sheetData>
  <mergeCells count="2">
    <mergeCell ref="C2:D2"/>
    <mergeCell ref="E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0E2C-1C8C-461A-9D86-A0F183470A2E}">
  <sheetPr>
    <tabColor rgb="FFFFFF00"/>
  </sheetPr>
  <dimension ref="B1:L57"/>
  <sheetViews>
    <sheetView workbookViewId="0">
      <pane ySplit="2" topLeftCell="A3" activePane="bottomLeft" state="frozen"/>
      <selection pane="bottomLeft" activeCell="H3" sqref="H3"/>
    </sheetView>
  </sheetViews>
  <sheetFormatPr defaultRowHeight="14.25" x14ac:dyDescent="0.45"/>
  <cols>
    <col min="1" max="1" width="2.73046875" customWidth="1"/>
    <col min="3" max="6" width="10.53125" customWidth="1"/>
  </cols>
  <sheetData>
    <row r="1" spans="2:12" x14ac:dyDescent="0.45">
      <c r="B1" s="400" t="s">
        <v>286</v>
      </c>
      <c r="C1" s="400"/>
      <c r="D1" s="400"/>
      <c r="E1" s="400"/>
      <c r="F1" s="400"/>
      <c r="G1" s="400"/>
      <c r="H1" s="400"/>
      <c r="I1" s="400"/>
      <c r="J1" s="400"/>
      <c r="K1" s="400"/>
      <c r="L1" s="393"/>
    </row>
    <row r="2" spans="2:12" s="3" customFormat="1" ht="21" x14ac:dyDescent="0.65">
      <c r="B2" s="397" t="s">
        <v>151</v>
      </c>
      <c r="C2" s="397"/>
      <c r="D2" s="397"/>
      <c r="E2" s="397"/>
      <c r="F2" s="397"/>
      <c r="G2" s="397"/>
    </row>
    <row r="3" spans="2:12" s="3" customFormat="1" ht="21.4" thickBot="1" x14ac:dyDescent="0.7"/>
    <row r="4" spans="2:12" s="37" customFormat="1" ht="21.4" thickBot="1" x14ac:dyDescent="0.7">
      <c r="C4" s="118" t="s">
        <v>0</v>
      </c>
      <c r="D4" s="119" t="s">
        <v>1</v>
      </c>
      <c r="E4" s="11" t="s">
        <v>22</v>
      </c>
      <c r="F4" s="13" t="s">
        <v>156</v>
      </c>
    </row>
    <row r="5" spans="2:12" s="37" customFormat="1" ht="18" x14ac:dyDescent="0.55000000000000004">
      <c r="C5" s="324">
        <v>7.2</v>
      </c>
      <c r="D5" s="325">
        <v>8.8000000000000007</v>
      </c>
      <c r="E5" s="37">
        <f t="shared" ref="E5:E39" si="0">IF(D5&gt;0,C5 - D5," ")</f>
        <v>-1.6000000000000005</v>
      </c>
      <c r="F5" s="39">
        <f t="shared" ref="F5:F11" si="1">IF(D5&gt;0,(E5^2/D5)," ")</f>
        <v>0.29090909090909112</v>
      </c>
    </row>
    <row r="6" spans="2:12" s="37" customFormat="1" ht="18" x14ac:dyDescent="0.55000000000000004">
      <c r="C6" s="326">
        <v>7.1</v>
      </c>
      <c r="D6" s="327">
        <v>7.5</v>
      </c>
      <c r="E6" s="37">
        <f t="shared" si="0"/>
        <v>-0.40000000000000036</v>
      </c>
      <c r="F6" s="39">
        <f t="shared" si="1"/>
        <v>2.1333333333333371E-2</v>
      </c>
    </row>
    <row r="7" spans="2:12" s="37" customFormat="1" ht="18" x14ac:dyDescent="0.55000000000000004">
      <c r="C7" s="326">
        <v>9.1</v>
      </c>
      <c r="D7" s="327">
        <v>7.7</v>
      </c>
      <c r="E7" s="37">
        <f t="shared" si="0"/>
        <v>1.3999999999999995</v>
      </c>
      <c r="F7" s="39">
        <f t="shared" si="1"/>
        <v>0.25454545454545435</v>
      </c>
    </row>
    <row r="8" spans="2:12" s="37" customFormat="1" ht="18" x14ac:dyDescent="0.55000000000000004">
      <c r="C8" s="326">
        <v>7.2</v>
      </c>
      <c r="D8" s="327">
        <v>7.6</v>
      </c>
      <c r="E8" s="37">
        <f t="shared" si="0"/>
        <v>-0.39999999999999947</v>
      </c>
      <c r="F8" s="39">
        <f t="shared" si="1"/>
        <v>2.1052631578947316E-2</v>
      </c>
    </row>
    <row r="9" spans="2:12" s="37" customFormat="1" ht="18" x14ac:dyDescent="0.55000000000000004">
      <c r="C9" s="326">
        <v>7.3</v>
      </c>
      <c r="D9" s="327">
        <v>7.4</v>
      </c>
      <c r="E9" s="37">
        <f t="shared" si="0"/>
        <v>-0.10000000000000053</v>
      </c>
      <c r="F9" s="39">
        <f t="shared" si="1"/>
        <v>1.3513513513513655E-3</v>
      </c>
    </row>
    <row r="10" spans="2:12" s="37" customFormat="1" ht="18" x14ac:dyDescent="0.55000000000000004">
      <c r="C10" s="326">
        <v>7.2</v>
      </c>
      <c r="D10" s="327">
        <v>6.7</v>
      </c>
      <c r="E10" s="37">
        <f t="shared" si="0"/>
        <v>0.5</v>
      </c>
      <c r="F10" s="39">
        <f t="shared" si="1"/>
        <v>3.7313432835820892E-2</v>
      </c>
    </row>
    <row r="11" spans="2:12" s="37" customFormat="1" ht="18" x14ac:dyDescent="0.55000000000000004">
      <c r="C11" s="326">
        <v>7.5</v>
      </c>
      <c r="D11" s="327">
        <v>7.2</v>
      </c>
      <c r="E11" s="37">
        <f t="shared" si="0"/>
        <v>0.29999999999999982</v>
      </c>
      <c r="F11" s="39">
        <f t="shared" si="1"/>
        <v>1.2499999999999985E-2</v>
      </c>
    </row>
    <row r="12" spans="2:12" s="37" customFormat="1" ht="18" x14ac:dyDescent="0.55000000000000004">
      <c r="C12" s="35"/>
      <c r="D12" s="36"/>
      <c r="E12" s="37" t="str">
        <f>IF(D12&gt;0,C12 - D12," ")</f>
        <v xml:space="preserve"> </v>
      </c>
      <c r="F12" s="39" t="str">
        <f>IF(D12&gt;0,(E12^2/D12)," ")</f>
        <v xml:space="preserve"> </v>
      </c>
    </row>
    <row r="13" spans="2:12" s="37" customFormat="1" ht="18" hidden="1" x14ac:dyDescent="0.55000000000000004">
      <c r="C13" s="35"/>
      <c r="D13" s="36"/>
      <c r="E13" s="37" t="str">
        <f t="shared" si="0"/>
        <v xml:space="preserve"> </v>
      </c>
      <c r="F13" s="39" t="str">
        <f t="shared" ref="F13:F39" si="2">IF(D13&gt;0,(E13^2/D13)," ")</f>
        <v xml:space="preserve"> </v>
      </c>
    </row>
    <row r="14" spans="2:12" s="37" customFormat="1" ht="18" hidden="1" x14ac:dyDescent="0.55000000000000004">
      <c r="C14" s="35"/>
      <c r="D14" s="36"/>
      <c r="E14" s="37" t="str">
        <f t="shared" si="0"/>
        <v xml:space="preserve"> </v>
      </c>
      <c r="F14" s="39" t="str">
        <f t="shared" si="2"/>
        <v xml:space="preserve"> </v>
      </c>
    </row>
    <row r="15" spans="2:12" s="37" customFormat="1" ht="18" hidden="1" x14ac:dyDescent="0.55000000000000004">
      <c r="C15" s="35"/>
      <c r="D15" s="36"/>
      <c r="E15" s="37" t="str">
        <f t="shared" si="0"/>
        <v xml:space="preserve"> </v>
      </c>
      <c r="F15" s="39" t="str">
        <f t="shared" si="2"/>
        <v xml:space="preserve"> </v>
      </c>
    </row>
    <row r="16" spans="2:12" s="37" customFormat="1" ht="18" hidden="1" x14ac:dyDescent="0.55000000000000004">
      <c r="C16" s="35"/>
      <c r="D16" s="36"/>
      <c r="E16" s="37" t="str">
        <f t="shared" si="0"/>
        <v xml:space="preserve"> </v>
      </c>
      <c r="F16" s="39" t="str">
        <f t="shared" si="2"/>
        <v xml:space="preserve"> </v>
      </c>
    </row>
    <row r="17" spans="3:6" s="37" customFormat="1" ht="18" hidden="1" x14ac:dyDescent="0.55000000000000004">
      <c r="C17" s="35"/>
      <c r="D17" s="36"/>
      <c r="E17" s="37" t="str">
        <f t="shared" si="0"/>
        <v xml:space="preserve"> </v>
      </c>
      <c r="F17" s="39" t="str">
        <f t="shared" si="2"/>
        <v xml:space="preserve"> </v>
      </c>
    </row>
    <row r="18" spans="3:6" s="37" customFormat="1" ht="18" hidden="1" x14ac:dyDescent="0.55000000000000004">
      <c r="C18" s="35"/>
      <c r="D18" s="36"/>
      <c r="E18" s="37" t="str">
        <f t="shared" si="0"/>
        <v xml:space="preserve"> </v>
      </c>
      <c r="F18" s="39" t="str">
        <f t="shared" si="2"/>
        <v xml:space="preserve"> </v>
      </c>
    </row>
    <row r="19" spans="3:6" s="37" customFormat="1" ht="18" hidden="1" x14ac:dyDescent="0.55000000000000004">
      <c r="C19" s="35"/>
      <c r="D19" s="36"/>
      <c r="E19" s="37" t="str">
        <f t="shared" si="0"/>
        <v xml:space="preserve"> </v>
      </c>
      <c r="F19" s="39" t="str">
        <f t="shared" si="2"/>
        <v xml:space="preserve"> </v>
      </c>
    </row>
    <row r="20" spans="3:6" s="37" customFormat="1" ht="18" hidden="1" x14ac:dyDescent="0.55000000000000004">
      <c r="C20" s="35"/>
      <c r="D20" s="36"/>
      <c r="E20" s="37" t="str">
        <f t="shared" si="0"/>
        <v xml:space="preserve"> </v>
      </c>
      <c r="F20" s="39" t="str">
        <f t="shared" si="2"/>
        <v xml:space="preserve"> </v>
      </c>
    </row>
    <row r="21" spans="3:6" s="37" customFormat="1" ht="18" hidden="1" x14ac:dyDescent="0.55000000000000004">
      <c r="C21" s="35"/>
      <c r="D21" s="36"/>
      <c r="E21" s="37" t="str">
        <f t="shared" si="0"/>
        <v xml:space="preserve"> </v>
      </c>
      <c r="F21" s="39" t="str">
        <f t="shared" si="2"/>
        <v xml:space="preserve"> </v>
      </c>
    </row>
    <row r="22" spans="3:6" s="37" customFormat="1" ht="18" hidden="1" x14ac:dyDescent="0.55000000000000004">
      <c r="C22" s="35"/>
      <c r="D22" s="36"/>
      <c r="E22" s="37" t="str">
        <f t="shared" si="0"/>
        <v xml:space="preserve"> </v>
      </c>
      <c r="F22" s="39" t="str">
        <f t="shared" si="2"/>
        <v xml:space="preserve"> </v>
      </c>
    </row>
    <row r="23" spans="3:6" s="37" customFormat="1" ht="18" hidden="1" x14ac:dyDescent="0.55000000000000004">
      <c r="C23" s="35"/>
      <c r="D23" s="36"/>
      <c r="E23" s="37" t="str">
        <f t="shared" si="0"/>
        <v xml:space="preserve"> </v>
      </c>
      <c r="F23" s="39" t="str">
        <f t="shared" si="2"/>
        <v xml:space="preserve"> </v>
      </c>
    </row>
    <row r="24" spans="3:6" s="37" customFormat="1" ht="18" hidden="1" x14ac:dyDescent="0.55000000000000004">
      <c r="C24" s="35"/>
      <c r="D24" s="36"/>
      <c r="E24" s="37" t="str">
        <f t="shared" si="0"/>
        <v xml:space="preserve"> </v>
      </c>
      <c r="F24" s="39" t="str">
        <f t="shared" si="2"/>
        <v xml:space="preserve"> </v>
      </c>
    </row>
    <row r="25" spans="3:6" s="37" customFormat="1" ht="18" hidden="1" x14ac:dyDescent="0.55000000000000004">
      <c r="C25" s="35"/>
      <c r="D25" s="36"/>
      <c r="E25" s="37" t="str">
        <f t="shared" si="0"/>
        <v xml:space="preserve"> </v>
      </c>
      <c r="F25" s="39" t="str">
        <f t="shared" si="2"/>
        <v xml:space="preserve"> </v>
      </c>
    </row>
    <row r="26" spans="3:6" s="37" customFormat="1" ht="18" hidden="1" x14ac:dyDescent="0.55000000000000004">
      <c r="C26" s="35"/>
      <c r="D26" s="36"/>
      <c r="E26" s="37" t="str">
        <f t="shared" si="0"/>
        <v xml:space="preserve"> </v>
      </c>
      <c r="F26" s="39" t="str">
        <f t="shared" si="2"/>
        <v xml:space="preserve"> </v>
      </c>
    </row>
    <row r="27" spans="3:6" s="37" customFormat="1" ht="18" hidden="1" x14ac:dyDescent="0.55000000000000004">
      <c r="C27" s="35"/>
      <c r="D27" s="36"/>
      <c r="E27" s="37" t="str">
        <f t="shared" si="0"/>
        <v xml:space="preserve"> </v>
      </c>
      <c r="F27" s="39" t="str">
        <f t="shared" si="2"/>
        <v xml:space="preserve"> </v>
      </c>
    </row>
    <row r="28" spans="3:6" s="37" customFormat="1" ht="18" hidden="1" x14ac:dyDescent="0.55000000000000004">
      <c r="C28" s="35"/>
      <c r="D28" s="36"/>
      <c r="E28" s="37" t="str">
        <f t="shared" si="0"/>
        <v xml:space="preserve"> </v>
      </c>
      <c r="F28" s="39" t="str">
        <f t="shared" si="2"/>
        <v xml:space="preserve"> </v>
      </c>
    </row>
    <row r="29" spans="3:6" s="37" customFormat="1" ht="18" hidden="1" x14ac:dyDescent="0.55000000000000004">
      <c r="C29" s="35"/>
      <c r="D29" s="36"/>
      <c r="E29" s="37" t="str">
        <f t="shared" si="0"/>
        <v xml:space="preserve"> </v>
      </c>
      <c r="F29" s="39" t="str">
        <f t="shared" si="2"/>
        <v xml:space="preserve"> </v>
      </c>
    </row>
    <row r="30" spans="3:6" s="37" customFormat="1" ht="18" hidden="1" x14ac:dyDescent="0.55000000000000004">
      <c r="C30" s="35"/>
      <c r="D30" s="36"/>
      <c r="E30" s="37" t="str">
        <f t="shared" si="0"/>
        <v xml:space="preserve"> </v>
      </c>
      <c r="F30" s="39" t="str">
        <f t="shared" si="2"/>
        <v xml:space="preserve"> </v>
      </c>
    </row>
    <row r="31" spans="3:6" s="37" customFormat="1" ht="18" hidden="1" x14ac:dyDescent="0.55000000000000004">
      <c r="C31" s="35"/>
      <c r="D31" s="36"/>
      <c r="E31" s="37" t="str">
        <f t="shared" si="0"/>
        <v xml:space="preserve"> </v>
      </c>
      <c r="F31" s="39" t="str">
        <f t="shared" si="2"/>
        <v xml:space="preserve"> </v>
      </c>
    </row>
    <row r="32" spans="3:6" s="37" customFormat="1" ht="18" hidden="1" x14ac:dyDescent="0.55000000000000004">
      <c r="C32" s="35"/>
      <c r="D32" s="36"/>
      <c r="E32" s="37" t="str">
        <f t="shared" si="0"/>
        <v xml:space="preserve"> </v>
      </c>
      <c r="F32" s="39" t="str">
        <f t="shared" si="2"/>
        <v xml:space="preserve"> </v>
      </c>
    </row>
    <row r="33" spans="3:6" s="37" customFormat="1" ht="18" hidden="1" x14ac:dyDescent="0.55000000000000004">
      <c r="C33" s="35"/>
      <c r="D33" s="36"/>
      <c r="E33" s="37" t="str">
        <f t="shared" si="0"/>
        <v xml:space="preserve"> </v>
      </c>
      <c r="F33" s="39" t="str">
        <f t="shared" si="2"/>
        <v xml:space="preserve"> </v>
      </c>
    </row>
    <row r="34" spans="3:6" s="37" customFormat="1" ht="18" hidden="1" x14ac:dyDescent="0.55000000000000004">
      <c r="C34" s="35"/>
      <c r="D34" s="36"/>
      <c r="E34" s="37" t="str">
        <f t="shared" si="0"/>
        <v xml:space="preserve"> </v>
      </c>
      <c r="F34" s="39" t="str">
        <f t="shared" si="2"/>
        <v xml:space="preserve"> </v>
      </c>
    </row>
    <row r="35" spans="3:6" s="37" customFormat="1" ht="18" hidden="1" x14ac:dyDescent="0.55000000000000004">
      <c r="C35" s="35"/>
      <c r="D35" s="36"/>
      <c r="E35" s="37" t="str">
        <f t="shared" si="0"/>
        <v xml:space="preserve"> </v>
      </c>
      <c r="F35" s="39" t="str">
        <f t="shared" si="2"/>
        <v xml:space="preserve"> </v>
      </c>
    </row>
    <row r="36" spans="3:6" s="37" customFormat="1" ht="18" hidden="1" x14ac:dyDescent="0.55000000000000004">
      <c r="C36" s="35"/>
      <c r="D36" s="36"/>
      <c r="E36" s="37" t="str">
        <f t="shared" si="0"/>
        <v xml:space="preserve"> </v>
      </c>
      <c r="F36" s="39" t="str">
        <f t="shared" si="2"/>
        <v xml:space="preserve"> </v>
      </c>
    </row>
    <row r="37" spans="3:6" s="37" customFormat="1" ht="18" hidden="1" x14ac:dyDescent="0.55000000000000004">
      <c r="C37" s="35"/>
      <c r="D37" s="36"/>
      <c r="E37" s="37" t="str">
        <f t="shared" si="0"/>
        <v xml:space="preserve"> </v>
      </c>
      <c r="F37" s="39" t="str">
        <f t="shared" si="2"/>
        <v xml:space="preserve"> </v>
      </c>
    </row>
    <row r="38" spans="3:6" s="37" customFormat="1" ht="18" hidden="1" x14ac:dyDescent="0.55000000000000004">
      <c r="C38" s="35"/>
      <c r="D38" s="36"/>
      <c r="E38" s="37" t="str">
        <f t="shared" si="0"/>
        <v xml:space="preserve"> </v>
      </c>
      <c r="F38" s="39" t="str">
        <f t="shared" si="2"/>
        <v xml:space="preserve"> </v>
      </c>
    </row>
    <row r="39" spans="3:6" s="37" customFormat="1" ht="18" x14ac:dyDescent="0.55000000000000004">
      <c r="C39" s="35"/>
      <c r="D39" s="36"/>
      <c r="E39" s="37" t="str">
        <f t="shared" si="0"/>
        <v xml:space="preserve"> </v>
      </c>
      <c r="F39" s="39" t="str">
        <f t="shared" si="2"/>
        <v xml:space="preserve"> </v>
      </c>
    </row>
    <row r="40" spans="3:6" s="37" customFormat="1" ht="18" x14ac:dyDescent="0.55000000000000004">
      <c r="F40" s="39"/>
    </row>
    <row r="41" spans="3:6" ht="18" x14ac:dyDescent="0.55000000000000004">
      <c r="C41" s="44" t="s">
        <v>23</v>
      </c>
      <c r="D41" s="31">
        <f>COUNT(D5:D39) - 1</f>
        <v>6</v>
      </c>
      <c r="E41" s="30" t="s">
        <v>32</v>
      </c>
      <c r="F41" s="46">
        <f>SUM(F5:F39)</f>
        <v>0.63900529455399835</v>
      </c>
    </row>
    <row r="42" spans="3:6" ht="14.65" thickBot="1" x14ac:dyDescent="0.5"/>
    <row r="43" spans="3:6" ht="21.4" thickBot="1" x14ac:dyDescent="0.7">
      <c r="C43" s="17"/>
      <c r="D43" s="398" t="s">
        <v>152</v>
      </c>
      <c r="E43" s="398"/>
      <c r="F43" s="399"/>
    </row>
    <row r="44" spans="3:6" ht="21.4" thickBot="1" x14ac:dyDescent="0.5">
      <c r="C44" s="102" t="s">
        <v>23</v>
      </c>
      <c r="D44" s="225" t="s">
        <v>208</v>
      </c>
      <c r="E44" s="226" t="s">
        <v>209</v>
      </c>
      <c r="F44" s="227" t="s">
        <v>210</v>
      </c>
    </row>
    <row r="45" spans="3:6" ht="21.4" thickBot="1" x14ac:dyDescent="0.7">
      <c r="C45" s="221">
        <v>1</v>
      </c>
      <c r="D45" s="222">
        <v>3.8410000000000002</v>
      </c>
      <c r="E45" s="223">
        <v>6.6349999999999998</v>
      </c>
      <c r="F45" s="224">
        <v>78.150000000000006</v>
      </c>
    </row>
    <row r="49" spans="3:9" ht="14.65" thickBot="1" x14ac:dyDescent="0.5">
      <c r="D49" s="344" t="s">
        <v>257</v>
      </c>
      <c r="E49" s="344" t="s">
        <v>258</v>
      </c>
      <c r="F49" s="344" t="s">
        <v>259</v>
      </c>
      <c r="G49" s="344" t="s">
        <v>260</v>
      </c>
      <c r="H49" s="345" t="s">
        <v>2</v>
      </c>
    </row>
    <row r="50" spans="3:9" ht="14.65" thickTop="1" x14ac:dyDescent="0.45">
      <c r="C50" s="351" t="s">
        <v>61</v>
      </c>
      <c r="D50" s="346">
        <v>0.4</v>
      </c>
      <c r="E50" s="346">
        <v>0.5</v>
      </c>
      <c r="F50" s="346">
        <f xml:space="preserve"> D50 - E50</f>
        <v>-9.9999999999999978E-2</v>
      </c>
      <c r="G50" s="346">
        <f>F50^2/E50</f>
        <v>1.999999999999999E-2</v>
      </c>
      <c r="H50" s="347"/>
    </row>
    <row r="51" spans="3:9" ht="14.65" thickBot="1" x14ac:dyDescent="0.5">
      <c r="C51" s="362" t="s">
        <v>62</v>
      </c>
      <c r="D51" s="348">
        <v>0.6</v>
      </c>
      <c r="E51" s="348">
        <v>0.5</v>
      </c>
      <c r="F51" s="348">
        <f t="shared" ref="F51:F57" si="3" xml:space="preserve"> D51 - E51</f>
        <v>9.9999999999999978E-2</v>
      </c>
      <c r="G51" s="348">
        <f t="shared" ref="G51:G57" si="4">F51^2/E51</f>
        <v>1.999999999999999E-2</v>
      </c>
      <c r="H51" s="349">
        <f>G50 + G51</f>
        <v>3.999999999999998E-2</v>
      </c>
      <c r="I51" t="s">
        <v>211</v>
      </c>
    </row>
    <row r="52" spans="3:9" ht="14.65" thickTop="1" x14ac:dyDescent="0.45">
      <c r="C52" s="350" t="s">
        <v>182</v>
      </c>
      <c r="D52" s="346">
        <v>4</v>
      </c>
      <c r="E52" s="346">
        <v>5</v>
      </c>
      <c r="F52" s="346">
        <f t="shared" si="3"/>
        <v>-1</v>
      </c>
      <c r="G52" s="346">
        <f t="shared" si="4"/>
        <v>0.2</v>
      </c>
      <c r="H52" s="347"/>
    </row>
    <row r="53" spans="3:9" ht="14.65" thickBot="1" x14ac:dyDescent="0.5">
      <c r="C53" s="359" t="s">
        <v>64</v>
      </c>
      <c r="D53" s="92">
        <v>6</v>
      </c>
      <c r="E53" s="92">
        <v>5</v>
      </c>
      <c r="F53" s="92">
        <f t="shared" si="3"/>
        <v>1</v>
      </c>
      <c r="G53" s="92">
        <f t="shared" si="4"/>
        <v>0.2</v>
      </c>
      <c r="H53" s="352">
        <f>G52 + G53</f>
        <v>0.4</v>
      </c>
      <c r="I53" t="s">
        <v>211</v>
      </c>
    </row>
    <row r="54" spans="3:9" x14ac:dyDescent="0.45">
      <c r="C54" s="360" t="s">
        <v>261</v>
      </c>
      <c r="D54" s="97">
        <v>40</v>
      </c>
      <c r="E54" s="97">
        <v>50</v>
      </c>
      <c r="F54" s="97">
        <f t="shared" si="3"/>
        <v>-10</v>
      </c>
      <c r="G54" s="97">
        <f t="shared" si="4"/>
        <v>2</v>
      </c>
      <c r="H54" s="355"/>
    </row>
    <row r="55" spans="3:9" ht="14.65" thickBot="1" x14ac:dyDescent="0.5">
      <c r="C55" s="361" t="s">
        <v>10</v>
      </c>
      <c r="D55" s="357">
        <v>60</v>
      </c>
      <c r="E55" s="357">
        <v>50</v>
      </c>
      <c r="F55" s="357">
        <f t="shared" si="3"/>
        <v>10</v>
      </c>
      <c r="G55" s="357">
        <f t="shared" si="4"/>
        <v>2</v>
      </c>
      <c r="H55" s="358">
        <f>G54 + G55</f>
        <v>4</v>
      </c>
      <c r="I55" s="353" t="s">
        <v>206</v>
      </c>
    </row>
    <row r="56" spans="3:9" x14ac:dyDescent="0.45">
      <c r="C56" s="354" t="s">
        <v>21</v>
      </c>
      <c r="D56" s="97">
        <v>400</v>
      </c>
      <c r="E56" s="97">
        <v>500</v>
      </c>
      <c r="F56" s="97">
        <f t="shared" si="3"/>
        <v>-100</v>
      </c>
      <c r="G56" s="97">
        <f t="shared" si="4"/>
        <v>20</v>
      </c>
      <c r="H56" s="355"/>
      <c r="I56" s="353"/>
    </row>
    <row r="57" spans="3:9" ht="14.65" thickBot="1" x14ac:dyDescent="0.5">
      <c r="C57" s="356" t="s">
        <v>262</v>
      </c>
      <c r="D57" s="357">
        <v>600</v>
      </c>
      <c r="E57" s="357">
        <v>500</v>
      </c>
      <c r="F57" s="357">
        <f t="shared" si="3"/>
        <v>100</v>
      </c>
      <c r="G57" s="357">
        <f t="shared" si="4"/>
        <v>20</v>
      </c>
      <c r="H57" s="358">
        <f>G56 + G57</f>
        <v>40</v>
      </c>
      <c r="I57" s="353" t="s">
        <v>207</v>
      </c>
    </row>
  </sheetData>
  <mergeCells count="3">
    <mergeCell ref="B2:G2"/>
    <mergeCell ref="D43:F43"/>
    <mergeCell ref="B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E659-0E06-4958-9F9F-8BD6B6197509}">
  <sheetPr>
    <tabColor rgb="FFFFFF00"/>
  </sheetPr>
  <dimension ref="B1:L44"/>
  <sheetViews>
    <sheetView workbookViewId="0">
      <pane ySplit="3" topLeftCell="A16" activePane="bottomLeft" state="frozen"/>
      <selection pane="bottomLeft" activeCell="I31" sqref="I31"/>
    </sheetView>
  </sheetViews>
  <sheetFormatPr defaultColWidth="8.796875" defaultRowHeight="14.25" outlineLevelRow="1" x14ac:dyDescent="0.45"/>
  <cols>
    <col min="1" max="1" width="2.53125" customWidth="1"/>
    <col min="2" max="2" width="10.53125" style="122" customWidth="1"/>
    <col min="3" max="4" width="10.53125" style="123" customWidth="1"/>
    <col min="5" max="5" width="10.53125" style="122" customWidth="1"/>
    <col min="6" max="7" width="10.53125" style="123" customWidth="1"/>
    <col min="8" max="8" width="10.53125" style="122" customWidth="1"/>
    <col min="9" max="9" width="10.53125" customWidth="1"/>
    <col min="10" max="10" width="10.53125" style="121" customWidth="1"/>
    <col min="11" max="11" width="12.53125" customWidth="1"/>
  </cols>
  <sheetData>
    <row r="1" spans="2:12" s="195" customFormat="1" ht="20.2" customHeight="1" x14ac:dyDescent="0.45">
      <c r="B1" s="400" t="s">
        <v>286</v>
      </c>
      <c r="C1" s="400"/>
      <c r="D1" s="400"/>
      <c r="E1" s="400"/>
      <c r="F1" s="400"/>
      <c r="G1" s="400"/>
      <c r="H1" s="400"/>
      <c r="I1" s="400"/>
      <c r="J1" s="400"/>
      <c r="K1" s="400"/>
    </row>
    <row r="2" spans="2:12" s="194" customFormat="1" ht="20.2" customHeight="1" x14ac:dyDescent="0.45">
      <c r="B2" s="401" t="s">
        <v>194</v>
      </c>
      <c r="C2" s="401"/>
      <c r="D2" s="401"/>
      <c r="E2" s="401"/>
      <c r="F2" s="401"/>
      <c r="G2" s="401"/>
      <c r="H2" s="401"/>
      <c r="I2" s="401"/>
      <c r="J2" s="401"/>
      <c r="K2" s="401"/>
    </row>
    <row r="3" spans="2:12" s="153" customFormat="1" ht="33.4" thickBot="1" x14ac:dyDescent="0.75">
      <c r="B3" s="193" t="s">
        <v>193</v>
      </c>
      <c r="C3" s="192" t="s">
        <v>192</v>
      </c>
      <c r="D3" s="191" t="s">
        <v>191</v>
      </c>
      <c r="E3" s="190" t="s">
        <v>190</v>
      </c>
      <c r="F3" s="189" t="s">
        <v>189</v>
      </c>
      <c r="G3" s="189" t="s">
        <v>188</v>
      </c>
      <c r="H3" s="188" t="s">
        <v>187</v>
      </c>
      <c r="I3" s="187" t="s">
        <v>186</v>
      </c>
      <c r="J3" s="186" t="s">
        <v>185</v>
      </c>
      <c r="K3" s="231" t="s">
        <v>184</v>
      </c>
    </row>
    <row r="4" spans="2:12" s="153" customFormat="1" ht="23.25" outlineLevel="1" x14ac:dyDescent="0.7">
      <c r="B4" s="184" t="s">
        <v>183</v>
      </c>
      <c r="C4" s="183">
        <v>0</v>
      </c>
      <c r="D4" s="185">
        <f t="shared" ref="D4:D13" si="0">C4/C$14</f>
        <v>0</v>
      </c>
      <c r="E4" s="184" t="s">
        <v>61</v>
      </c>
      <c r="F4" s="183">
        <f>2*C4 + C5 + C6 + C7</f>
        <v>0</v>
      </c>
      <c r="G4" s="182">
        <f>F4/F$14</f>
        <v>0</v>
      </c>
      <c r="H4" s="181" t="s">
        <v>183</v>
      </c>
      <c r="I4" s="180">
        <f>G4*G4</f>
        <v>0</v>
      </c>
      <c r="J4" s="229">
        <f xml:space="preserve"> ROUND(I4*$C$14,0)</f>
        <v>0</v>
      </c>
      <c r="K4" s="230">
        <f>IF(J4&gt;0,((C4-J4)^2)/J4,0)</f>
        <v>0</v>
      </c>
    </row>
    <row r="5" spans="2:12" s="153" customFormat="1" ht="23.25" outlineLevel="1" x14ac:dyDescent="0.7">
      <c r="B5" s="176" t="s">
        <v>181</v>
      </c>
      <c r="C5" s="169">
        <v>0</v>
      </c>
      <c r="D5" s="175">
        <f t="shared" si="0"/>
        <v>0</v>
      </c>
      <c r="E5" s="176" t="s">
        <v>182</v>
      </c>
      <c r="F5" s="169">
        <f>C5 + 2*C8 + C9 + C10</f>
        <v>0</v>
      </c>
      <c r="G5" s="179">
        <f>F5/F$14</f>
        <v>0</v>
      </c>
      <c r="H5" s="174" t="s">
        <v>181</v>
      </c>
      <c r="I5" s="173">
        <f>2*G4*G5</f>
        <v>0</v>
      </c>
      <c r="J5" s="229">
        <f t="shared" ref="J5:J13" si="1" xml:space="preserve"> ROUND(I5*$C$14,0)</f>
        <v>0</v>
      </c>
      <c r="K5" s="230">
        <f t="shared" ref="K5:K13" si="2">IF(J5&gt;0,((C5-J5)^2)/J5,0)</f>
        <v>0</v>
      </c>
    </row>
    <row r="6" spans="2:12" s="153" customFormat="1" ht="23.25" outlineLevel="1" x14ac:dyDescent="0.7">
      <c r="B6" s="176" t="s">
        <v>180</v>
      </c>
      <c r="C6" s="169">
        <v>0</v>
      </c>
      <c r="D6" s="175">
        <f t="shared" si="0"/>
        <v>0</v>
      </c>
      <c r="E6" s="176" t="s">
        <v>21</v>
      </c>
      <c r="F6" s="169">
        <f xml:space="preserve"> C6 + C9 + 2*C11 + C12</f>
        <v>660</v>
      </c>
      <c r="G6" s="179">
        <f>F6/F$14</f>
        <v>0.33</v>
      </c>
      <c r="H6" s="174" t="s">
        <v>180</v>
      </c>
      <c r="I6" s="173">
        <f>2*G4*G6</f>
        <v>0</v>
      </c>
      <c r="J6" s="229">
        <f t="shared" si="1"/>
        <v>0</v>
      </c>
      <c r="K6" s="230">
        <f t="shared" si="2"/>
        <v>0</v>
      </c>
    </row>
    <row r="7" spans="2:12" s="153" customFormat="1" ht="23.65" outlineLevel="1" thickBot="1" x14ac:dyDescent="0.75">
      <c r="B7" s="176" t="s">
        <v>178</v>
      </c>
      <c r="C7" s="169">
        <v>0</v>
      </c>
      <c r="D7" s="175">
        <f t="shared" si="0"/>
        <v>0</v>
      </c>
      <c r="E7" s="172" t="s">
        <v>179</v>
      </c>
      <c r="F7" s="178">
        <f>C7 + C10 + C12 + 2*C13</f>
        <v>1340</v>
      </c>
      <c r="G7" s="177">
        <f>F7/F$14</f>
        <v>0.67</v>
      </c>
      <c r="H7" s="174" t="s">
        <v>178</v>
      </c>
      <c r="I7" s="173">
        <f>2*G4*G7</f>
        <v>0</v>
      </c>
      <c r="J7" s="229">
        <f t="shared" si="1"/>
        <v>0</v>
      </c>
      <c r="K7" s="230">
        <f t="shared" si="2"/>
        <v>0</v>
      </c>
    </row>
    <row r="8" spans="2:12" s="153" customFormat="1" ht="23.25" outlineLevel="1" x14ac:dyDescent="0.7">
      <c r="B8" s="176" t="s">
        <v>177</v>
      </c>
      <c r="C8" s="169">
        <v>0</v>
      </c>
      <c r="D8" s="175">
        <f t="shared" si="0"/>
        <v>0</v>
      </c>
      <c r="E8" s="152"/>
      <c r="F8" s="169"/>
      <c r="G8" s="169"/>
      <c r="H8" s="174" t="s">
        <v>177</v>
      </c>
      <c r="I8" s="173">
        <f>G5*G5</f>
        <v>0</v>
      </c>
      <c r="J8" s="229">
        <f t="shared" si="1"/>
        <v>0</v>
      </c>
      <c r="K8" s="230">
        <f t="shared" si="2"/>
        <v>0</v>
      </c>
    </row>
    <row r="9" spans="2:12" s="153" customFormat="1" ht="23.25" outlineLevel="1" x14ac:dyDescent="0.7">
      <c r="B9" s="176" t="s">
        <v>176</v>
      </c>
      <c r="C9" s="169">
        <v>0</v>
      </c>
      <c r="D9" s="175">
        <f t="shared" si="0"/>
        <v>0</v>
      </c>
      <c r="E9" s="152"/>
      <c r="F9" s="169"/>
      <c r="G9" s="169"/>
      <c r="H9" s="174" t="s">
        <v>176</v>
      </c>
      <c r="I9" s="173">
        <f>2*G5*G6</f>
        <v>0</v>
      </c>
      <c r="J9" s="229">
        <f t="shared" si="1"/>
        <v>0</v>
      </c>
      <c r="K9" s="230">
        <f t="shared" si="2"/>
        <v>0</v>
      </c>
    </row>
    <row r="10" spans="2:12" s="153" customFormat="1" ht="23.25" outlineLevel="1" x14ac:dyDescent="0.7">
      <c r="B10" s="176" t="s">
        <v>16</v>
      </c>
      <c r="C10" s="169">
        <v>0</v>
      </c>
      <c r="D10" s="175">
        <f t="shared" si="0"/>
        <v>0</v>
      </c>
      <c r="E10" s="152"/>
      <c r="F10" s="169"/>
      <c r="G10" s="169"/>
      <c r="H10" s="174" t="s">
        <v>16</v>
      </c>
      <c r="I10" s="173">
        <f>2*G5*G7</f>
        <v>0</v>
      </c>
      <c r="J10" s="229">
        <f t="shared" si="1"/>
        <v>0</v>
      </c>
      <c r="K10" s="230">
        <f t="shared" si="2"/>
        <v>0</v>
      </c>
    </row>
    <row r="11" spans="2:12" s="153" customFormat="1" ht="23.25" outlineLevel="1" x14ac:dyDescent="0.7">
      <c r="B11" s="176" t="s">
        <v>175</v>
      </c>
      <c r="C11" s="142">
        <v>120</v>
      </c>
      <c r="D11" s="175">
        <f t="shared" si="0"/>
        <v>0.12</v>
      </c>
      <c r="E11" s="152"/>
      <c r="F11" s="169"/>
      <c r="G11" s="169"/>
      <c r="H11" s="174" t="s">
        <v>175</v>
      </c>
      <c r="I11" s="173">
        <f>G6*G6</f>
        <v>0.10890000000000001</v>
      </c>
      <c r="J11" s="229">
        <f t="shared" si="1"/>
        <v>109</v>
      </c>
      <c r="K11" s="230">
        <f t="shared" si="2"/>
        <v>1.1100917431192661</v>
      </c>
    </row>
    <row r="12" spans="2:12" s="153" customFormat="1" ht="23.25" outlineLevel="1" x14ac:dyDescent="0.7">
      <c r="B12" s="176" t="s">
        <v>174</v>
      </c>
      <c r="C12" s="142">
        <v>420</v>
      </c>
      <c r="D12" s="175">
        <f t="shared" si="0"/>
        <v>0.42</v>
      </c>
      <c r="E12" s="152"/>
      <c r="F12" s="169"/>
      <c r="G12" s="169"/>
      <c r="H12" s="174" t="s">
        <v>174</v>
      </c>
      <c r="I12" s="173">
        <f>2*G6*G7</f>
        <v>0.44220000000000004</v>
      </c>
      <c r="J12" s="229">
        <f t="shared" si="1"/>
        <v>442</v>
      </c>
      <c r="K12" s="230">
        <f t="shared" si="2"/>
        <v>1.0950226244343892</v>
      </c>
    </row>
    <row r="13" spans="2:12" s="153" customFormat="1" ht="23.65" outlineLevel="1" thickBot="1" x14ac:dyDescent="0.75">
      <c r="B13" s="172" t="s">
        <v>173</v>
      </c>
      <c r="C13" s="171">
        <v>460</v>
      </c>
      <c r="D13" s="170">
        <f t="shared" si="0"/>
        <v>0.46</v>
      </c>
      <c r="E13" s="152"/>
      <c r="F13" s="169"/>
      <c r="G13" s="169"/>
      <c r="H13" s="168" t="s">
        <v>173</v>
      </c>
      <c r="I13" s="167">
        <f>G7*G7</f>
        <v>0.44890000000000008</v>
      </c>
      <c r="J13" s="229">
        <f t="shared" si="1"/>
        <v>449</v>
      </c>
      <c r="K13" s="230">
        <f t="shared" si="2"/>
        <v>0.26948775055679286</v>
      </c>
    </row>
    <row r="14" spans="2:12" s="153" customFormat="1" ht="23.25" x14ac:dyDescent="0.7">
      <c r="B14" s="67"/>
      <c r="C14" s="165">
        <f>SUM(C4:C13)</f>
        <v>1000</v>
      </c>
      <c r="D14" s="164">
        <f>SUM(D4:D13)</f>
        <v>1</v>
      </c>
      <c r="E14" s="166"/>
      <c r="F14" s="165">
        <f>SUM(F4:F13)</f>
        <v>2000</v>
      </c>
      <c r="G14" s="164">
        <f>SUM(G4:G13)</f>
        <v>1</v>
      </c>
      <c r="H14" s="165"/>
      <c r="I14" s="164">
        <f>SUM(I4:I13)</f>
        <v>1</v>
      </c>
      <c r="J14" s="232">
        <f>SUM(J4:J13)</f>
        <v>1000</v>
      </c>
      <c r="K14" s="163"/>
      <c r="L14" s="162"/>
    </row>
    <row r="15" spans="2:12" s="153" customFormat="1" ht="23.25" x14ac:dyDescent="0.7">
      <c r="B15" s="152"/>
      <c r="C15" s="159"/>
      <c r="D15" s="161"/>
      <c r="E15" s="160"/>
      <c r="F15" s="159"/>
      <c r="G15" s="158" t="s">
        <v>23</v>
      </c>
      <c r="H15" s="158">
        <f>COUNTIF(F4:F7, "&gt; 0") - 1</f>
        <v>1</v>
      </c>
      <c r="J15" s="157"/>
      <c r="K15" s="308">
        <f>SUM(K4:K13)</f>
        <v>2.4746021181104481</v>
      </c>
    </row>
    <row r="16" spans="2:12" s="153" customFormat="1" ht="23.65" outlineLevel="1" thickBot="1" x14ac:dyDescent="0.75">
      <c r="B16" s="156"/>
      <c r="C16" s="155" t="s">
        <v>172</v>
      </c>
      <c r="D16" s="154">
        <f>1 - (D4 + D8 + D11 + D13)</f>
        <v>0.41999999999999993</v>
      </c>
      <c r="E16" s="152"/>
      <c r="F16" s="151"/>
      <c r="G16" s="150"/>
    </row>
    <row r="17" spans="2:12" ht="23.65" outlineLevel="1" thickBot="1" x14ac:dyDescent="0.75">
      <c r="B17" s="152"/>
      <c r="C17" s="151" t="s">
        <v>171</v>
      </c>
      <c r="D17" s="150">
        <f xml:space="preserve"> 1 - (G4^2 + G5^2 + G6^2 + G7^2)</f>
        <v>0.44219999999999993</v>
      </c>
      <c r="H17" s="17"/>
      <c r="I17" s="398" t="s">
        <v>152</v>
      </c>
      <c r="J17" s="398"/>
      <c r="K17" s="399"/>
    </row>
    <row r="18" spans="2:12" ht="23.65" thickBot="1" x14ac:dyDescent="0.75">
      <c r="B18" s="402" t="s">
        <v>170</v>
      </c>
      <c r="C18" s="402"/>
      <c r="D18" s="149">
        <f>(D16 - D17)/D17</f>
        <v>-5.0203527815468114E-2</v>
      </c>
      <c r="H18" s="102" t="s">
        <v>23</v>
      </c>
      <c r="I18" s="103" t="s">
        <v>153</v>
      </c>
      <c r="J18" s="104" t="s">
        <v>154</v>
      </c>
      <c r="K18" s="105" t="s">
        <v>155</v>
      </c>
    </row>
    <row r="19" spans="2:12" ht="21" x14ac:dyDescent="0.65">
      <c r="H19" s="106">
        <v>1</v>
      </c>
      <c r="I19" s="107">
        <v>3.8410000000000002</v>
      </c>
      <c r="J19" s="108">
        <v>6.6349999999999998</v>
      </c>
      <c r="K19" s="109">
        <v>78.150000000000006</v>
      </c>
    </row>
    <row r="20" spans="2:12" ht="21" x14ac:dyDescent="0.65">
      <c r="B20" s="52"/>
      <c r="H20" s="110">
        <v>2</v>
      </c>
      <c r="I20" s="111">
        <v>5.9909999999999997</v>
      </c>
      <c r="J20" s="112">
        <v>9.2100000000000009</v>
      </c>
      <c r="K20" s="113">
        <v>11.345000000000001</v>
      </c>
    </row>
    <row r="21" spans="2:12" ht="21.4" thickBot="1" x14ac:dyDescent="0.7">
      <c r="B21" s="409" t="s">
        <v>245</v>
      </c>
      <c r="C21" s="409"/>
      <c r="H21" s="114">
        <v>3</v>
      </c>
      <c r="I21" s="115">
        <v>7.8150000000000004</v>
      </c>
      <c r="J21" s="116">
        <v>13.816000000000001</v>
      </c>
      <c r="K21" s="117">
        <v>16.265999999999998</v>
      </c>
    </row>
    <row r="22" spans="2:12" ht="15" customHeight="1" thickBot="1" x14ac:dyDescent="0.5"/>
    <row r="23" spans="2:12" s="9" customFormat="1" ht="25.05" customHeight="1" x14ac:dyDescent="0.65">
      <c r="B23" s="403" t="s">
        <v>56</v>
      </c>
      <c r="C23" s="405" t="s">
        <v>169</v>
      </c>
      <c r="D23" s="405"/>
      <c r="E23" s="406"/>
      <c r="F23" s="407"/>
      <c r="G23" s="313" t="s">
        <v>168</v>
      </c>
      <c r="H23" s="146"/>
      <c r="I23" s="146"/>
      <c r="L23"/>
    </row>
    <row r="24" spans="2:12" s="9" customFormat="1" ht="25.05" customHeight="1" thickBot="1" x14ac:dyDescent="0.75">
      <c r="B24" s="404"/>
      <c r="C24" s="148" t="s">
        <v>167</v>
      </c>
      <c r="D24" s="148" t="s">
        <v>166</v>
      </c>
      <c r="E24" s="147" t="s">
        <v>165</v>
      </c>
      <c r="F24" s="408"/>
      <c r="G24" s="314" t="s">
        <v>164</v>
      </c>
      <c r="H24" s="146"/>
      <c r="I24" s="146"/>
      <c r="J24" s="145" t="s">
        <v>247</v>
      </c>
      <c r="L24"/>
    </row>
    <row r="25" spans="2:12" ht="21" x14ac:dyDescent="0.65">
      <c r="B25" s="52" t="s">
        <v>163</v>
      </c>
      <c r="C25" s="142">
        <v>41</v>
      </c>
      <c r="D25" s="142">
        <v>83</v>
      </c>
      <c r="E25" s="142">
        <v>76</v>
      </c>
      <c r="F25" s="309"/>
      <c r="G25" s="310"/>
      <c r="H25"/>
      <c r="I25" s="124"/>
      <c r="J25" s="124"/>
      <c r="K25" s="124"/>
    </row>
    <row r="26" spans="2:12" s="37" customFormat="1" ht="21" x14ac:dyDescent="0.65">
      <c r="B26" s="52" t="s">
        <v>162</v>
      </c>
      <c r="C26" s="143">
        <v>80</v>
      </c>
      <c r="D26" s="143">
        <v>168</v>
      </c>
      <c r="E26" s="142">
        <v>152</v>
      </c>
      <c r="F26" s="311"/>
      <c r="G26" s="310"/>
      <c r="H26" s="144"/>
      <c r="I26" s="141"/>
      <c r="J26" s="134"/>
      <c r="K26" s="137"/>
      <c r="L26"/>
    </row>
    <row r="27" spans="2:12" s="37" customFormat="1" ht="21" x14ac:dyDescent="0.65">
      <c r="B27" s="52" t="s">
        <v>161</v>
      </c>
      <c r="C27" s="142">
        <v>184</v>
      </c>
      <c r="D27" s="142">
        <v>164</v>
      </c>
      <c r="E27" s="142">
        <v>52</v>
      </c>
      <c r="F27" s="312"/>
      <c r="G27" s="310"/>
      <c r="H27" s="141"/>
      <c r="I27" s="141"/>
      <c r="J27" s="138"/>
      <c r="K27" s="9"/>
      <c r="L27"/>
    </row>
    <row r="28" spans="2:12" s="37" customFormat="1" ht="21" x14ac:dyDescent="0.65">
      <c r="B28" s="52" t="s">
        <v>160</v>
      </c>
      <c r="C28" s="143">
        <v>100</v>
      </c>
      <c r="D28" s="143">
        <v>210</v>
      </c>
      <c r="E28" s="143">
        <v>190</v>
      </c>
      <c r="F28" s="309"/>
      <c r="G28" s="310"/>
      <c r="H28" s="141"/>
      <c r="I28" s="141"/>
      <c r="J28" s="138"/>
      <c r="K28" s="9"/>
      <c r="L28"/>
    </row>
    <row r="29" spans="2:12" s="37" customFormat="1" ht="21" x14ac:dyDescent="0.65">
      <c r="B29" s="37" t="s">
        <v>159</v>
      </c>
      <c r="C29" s="142">
        <v>230</v>
      </c>
      <c r="D29" s="142">
        <v>205</v>
      </c>
      <c r="E29" s="142">
        <v>65</v>
      </c>
      <c r="F29" s="312"/>
      <c r="G29" s="310"/>
      <c r="H29" s="141"/>
      <c r="I29" s="141"/>
      <c r="J29" s="138"/>
      <c r="K29" s="9"/>
      <c r="L29"/>
    </row>
    <row r="30" spans="2:12" s="37" customFormat="1" ht="21" x14ac:dyDescent="0.65">
      <c r="B30" s="52" t="s">
        <v>158</v>
      </c>
      <c r="C30" s="142">
        <v>276</v>
      </c>
      <c r="D30" s="142">
        <v>243</v>
      </c>
      <c r="E30" s="142">
        <v>81</v>
      </c>
      <c r="F30" s="312"/>
      <c r="G30" s="310"/>
      <c r="H30" s="141"/>
      <c r="I30" s="141"/>
      <c r="J30" s="138"/>
      <c r="K30" s="9"/>
      <c r="L30"/>
    </row>
    <row r="31" spans="2:12" s="37" customFormat="1" ht="21" x14ac:dyDescent="0.65">
      <c r="B31" s="126"/>
      <c r="F31" s="130"/>
      <c r="G31" s="9"/>
      <c r="H31" s="139"/>
      <c r="I31" s="139"/>
      <c r="J31" s="139"/>
      <c r="K31" s="138"/>
      <c r="L31" s="137"/>
    </row>
    <row r="32" spans="2:12" s="37" customFormat="1" ht="21" x14ac:dyDescent="0.65">
      <c r="B32" s="136"/>
      <c r="C32" s="140"/>
      <c r="D32" s="140"/>
      <c r="E32" s="140"/>
      <c r="F32" s="127"/>
      <c r="G32" s="9"/>
      <c r="H32" s="139"/>
      <c r="I32" s="139"/>
      <c r="J32" s="139"/>
      <c r="K32" s="138"/>
      <c r="L32" s="137"/>
    </row>
    <row r="33" spans="2:12" s="37" customFormat="1" ht="21" x14ac:dyDescent="0.65">
      <c r="B33" s="136"/>
      <c r="C33" s="135"/>
      <c r="D33" s="135"/>
      <c r="E33" s="135"/>
      <c r="F33" s="134"/>
      <c r="G33" s="133"/>
      <c r="H33" s="132"/>
      <c r="I33" s="132"/>
      <c r="J33" s="132"/>
      <c r="K33" s="127"/>
      <c r="L33" s="9"/>
    </row>
    <row r="34" spans="2:12" s="37" customFormat="1" ht="21" x14ac:dyDescent="0.65">
      <c r="B34" s="52"/>
      <c r="C34" s="126"/>
      <c r="D34" s="126"/>
      <c r="E34" s="52"/>
      <c r="F34" s="126"/>
      <c r="G34" s="126"/>
      <c r="H34" s="131"/>
      <c r="I34" s="131"/>
      <c r="J34" s="131"/>
      <c r="K34" s="127"/>
      <c r="L34" s="9"/>
    </row>
    <row r="35" spans="2:12" s="37" customFormat="1" ht="21" x14ac:dyDescent="0.65">
      <c r="B35" s="52"/>
      <c r="C35" s="126"/>
      <c r="D35" s="126"/>
      <c r="E35" s="52"/>
      <c r="F35" s="126"/>
      <c r="G35" s="126"/>
      <c r="H35" s="129"/>
      <c r="I35" s="129"/>
      <c r="J35" s="131"/>
      <c r="K35" s="130"/>
      <c r="L35" s="9"/>
    </row>
    <row r="36" spans="2:12" s="37" customFormat="1" ht="21" x14ac:dyDescent="0.65">
      <c r="B36" s="52"/>
      <c r="C36" s="126"/>
      <c r="D36" s="126"/>
      <c r="E36" s="52"/>
      <c r="F36" s="126"/>
      <c r="G36" s="126"/>
      <c r="H36" s="129"/>
      <c r="I36" s="129"/>
      <c r="J36" s="129"/>
      <c r="K36" s="127"/>
      <c r="L36" s="9"/>
    </row>
    <row r="37" spans="2:12" s="37" customFormat="1" ht="21" x14ac:dyDescent="0.65">
      <c r="B37" s="52"/>
      <c r="C37" s="126"/>
      <c r="D37" s="126"/>
      <c r="E37" s="52"/>
      <c r="F37" s="126"/>
      <c r="G37" s="126"/>
      <c r="H37" s="128"/>
      <c r="I37" s="128"/>
      <c r="J37" s="128"/>
      <c r="K37" s="127"/>
      <c r="L37" s="9"/>
    </row>
    <row r="38" spans="2:12" ht="18" x14ac:dyDescent="0.55000000000000004">
      <c r="C38" s="126"/>
      <c r="D38" s="126"/>
      <c r="E38" s="52"/>
      <c r="F38" s="126"/>
      <c r="G38" s="125"/>
      <c r="H38" s="37"/>
      <c r="I38" s="37"/>
      <c r="J38" s="37"/>
      <c r="K38" s="37"/>
    </row>
    <row r="39" spans="2:12" ht="18" x14ac:dyDescent="0.55000000000000004">
      <c r="H39" s="37"/>
      <c r="I39" s="37"/>
      <c r="J39" s="124"/>
      <c r="K39" s="37"/>
    </row>
    <row r="40" spans="2:12" ht="18" x14ac:dyDescent="0.55000000000000004">
      <c r="H40" s="37"/>
      <c r="I40" s="37"/>
      <c r="J40" s="124"/>
      <c r="K40" s="37"/>
    </row>
    <row r="41" spans="2:12" ht="18" x14ac:dyDescent="0.55000000000000004">
      <c r="H41" s="37"/>
      <c r="I41" s="37"/>
      <c r="J41" s="124"/>
      <c r="K41" s="37"/>
    </row>
    <row r="42" spans="2:12" ht="18" x14ac:dyDescent="0.55000000000000004">
      <c r="H42" s="37"/>
      <c r="I42" s="37"/>
      <c r="J42" s="124"/>
      <c r="K42" s="37"/>
    </row>
    <row r="43" spans="2:12" ht="18" x14ac:dyDescent="0.55000000000000004">
      <c r="H43" s="37"/>
      <c r="I43" s="37"/>
      <c r="J43" s="124"/>
      <c r="K43" s="37"/>
    </row>
    <row r="44" spans="2:12" ht="18" x14ac:dyDescent="0.55000000000000004">
      <c r="H44" s="37"/>
      <c r="I44" s="37"/>
      <c r="J44" s="124"/>
      <c r="K44" s="37"/>
    </row>
  </sheetData>
  <mergeCells count="8">
    <mergeCell ref="B1:K1"/>
    <mergeCell ref="B2:K2"/>
    <mergeCell ref="I17:K17"/>
    <mergeCell ref="B18:C18"/>
    <mergeCell ref="B23:B24"/>
    <mergeCell ref="C23:E23"/>
    <mergeCell ref="F23:F24"/>
    <mergeCell ref="B21:C2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0F94-46DF-4C67-9888-204752DE7F7E}">
  <sheetPr>
    <tabColor rgb="FFFFFF00"/>
  </sheetPr>
  <dimension ref="B1:L25"/>
  <sheetViews>
    <sheetView workbookViewId="0">
      <pane ySplit="2" topLeftCell="A3" activePane="bottomLeft" state="frozen"/>
      <selection pane="bottomLeft" activeCell="B1" sqref="B1:L1"/>
    </sheetView>
  </sheetViews>
  <sheetFormatPr defaultRowHeight="14.25" x14ac:dyDescent="0.45"/>
  <cols>
    <col min="1" max="1" width="2.73046875" customWidth="1"/>
    <col min="6" max="6" width="10.53125" customWidth="1"/>
    <col min="8" max="8" width="8.9296875" bestFit="1" customWidth="1"/>
  </cols>
  <sheetData>
    <row r="1" spans="2:12" x14ac:dyDescent="0.45">
      <c r="B1" s="400" t="s">
        <v>286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2:12" s="3" customFormat="1" ht="21" x14ac:dyDescent="0.65">
      <c r="B2" s="397" t="s">
        <v>151</v>
      </c>
      <c r="C2" s="397"/>
      <c r="D2" s="397"/>
      <c r="E2" s="397"/>
      <c r="F2" s="397"/>
      <c r="G2" s="397"/>
    </row>
    <row r="3" spans="2:12" s="3" customFormat="1" ht="21.4" thickBot="1" x14ac:dyDescent="0.7"/>
    <row r="4" spans="2:12" s="37" customFormat="1" ht="18.399999999999999" thickBot="1" x14ac:dyDescent="0.6">
      <c r="C4" s="5" t="s">
        <v>0</v>
      </c>
      <c r="D4" s="6" t="s">
        <v>1</v>
      </c>
      <c r="E4" s="299" t="s">
        <v>22</v>
      </c>
      <c r="F4" s="300" t="s">
        <v>69</v>
      </c>
      <c r="G4" s="301" t="s">
        <v>157</v>
      </c>
    </row>
    <row r="5" spans="2:12" s="37" customFormat="1" ht="18" x14ac:dyDescent="0.55000000000000004">
      <c r="B5" s="69" t="s">
        <v>61</v>
      </c>
      <c r="C5" s="37">
        <v>44</v>
      </c>
      <c r="D5" s="37">
        <v>44</v>
      </c>
      <c r="E5" s="281">
        <f>C5 - D5</f>
        <v>0</v>
      </c>
      <c r="F5" s="282">
        <f>(E5^2/D5)</f>
        <v>0</v>
      </c>
      <c r="G5" s="315">
        <f>(E5^2/C5)</f>
        <v>0</v>
      </c>
    </row>
    <row r="6" spans="2:12" s="37" customFormat="1" ht="18" x14ac:dyDescent="0.55000000000000004">
      <c r="B6" s="69" t="s">
        <v>62</v>
      </c>
      <c r="C6" s="37">
        <v>27</v>
      </c>
      <c r="D6" s="37">
        <v>27</v>
      </c>
      <c r="E6" s="284">
        <f>C6 - D6</f>
        <v>0</v>
      </c>
      <c r="F6" s="84">
        <f>(E6^2/D6)</f>
        <v>0</v>
      </c>
      <c r="G6" s="316">
        <f>(E6^2/C6)</f>
        <v>0</v>
      </c>
    </row>
    <row r="7" spans="2:12" s="37" customFormat="1" ht="18" x14ac:dyDescent="0.55000000000000004">
      <c r="B7" s="69" t="s">
        <v>65</v>
      </c>
      <c r="C7" s="37">
        <v>4</v>
      </c>
      <c r="D7" s="37">
        <v>6</v>
      </c>
      <c r="E7" s="284">
        <f>C7 - D7</f>
        <v>-2</v>
      </c>
      <c r="F7" s="84">
        <f>(E7^2/D7)</f>
        <v>0.66666666666666663</v>
      </c>
      <c r="G7" s="316">
        <f>(E7^2/C7)</f>
        <v>1</v>
      </c>
    </row>
    <row r="8" spans="2:12" s="37" customFormat="1" ht="18.399999999999999" thickBot="1" x14ac:dyDescent="0.6">
      <c r="B8" s="69" t="s">
        <v>63</v>
      </c>
      <c r="C8" s="37">
        <v>88</v>
      </c>
      <c r="D8" s="37">
        <v>87</v>
      </c>
      <c r="E8" s="286">
        <f>C8 - D8</f>
        <v>1</v>
      </c>
      <c r="F8" s="287">
        <f>(E8^2/D8)</f>
        <v>1.1494252873563218E-2</v>
      </c>
      <c r="G8" s="317">
        <f>(E8^2/C8)</f>
        <v>1.1363636363636364E-2</v>
      </c>
    </row>
    <row r="9" spans="2:12" s="37" customFormat="1" ht="18" x14ac:dyDescent="0.55000000000000004">
      <c r="F9" s="43"/>
      <c r="G9" s="204"/>
    </row>
    <row r="10" spans="2:12" ht="18" x14ac:dyDescent="0.55000000000000004">
      <c r="C10" s="44" t="s">
        <v>23</v>
      </c>
      <c r="D10" s="31">
        <f>COUNT(D5:D8) - 1</f>
        <v>3</v>
      </c>
      <c r="E10" s="66" t="s">
        <v>149</v>
      </c>
      <c r="F10" s="46">
        <f>SUM(F5:F8)</f>
        <v>0.67816091954022983</v>
      </c>
      <c r="G10" s="318">
        <f>SUM(G5:G8)</f>
        <v>1.0113636363636365</v>
      </c>
    </row>
    <row r="12" spans="2:12" ht="18.399999999999999" thickBot="1" x14ac:dyDescent="0.6">
      <c r="B12" s="55" t="s">
        <v>245</v>
      </c>
      <c r="D12" s="343" t="s">
        <v>61</v>
      </c>
      <c r="E12" s="343" t="s">
        <v>62</v>
      </c>
      <c r="F12" s="343" t="s">
        <v>65</v>
      </c>
      <c r="G12" s="343" t="s">
        <v>63</v>
      </c>
      <c r="H12" s="66" t="s">
        <v>149</v>
      </c>
    </row>
    <row r="13" spans="2:12" ht="28.5" x14ac:dyDescent="0.55000000000000004">
      <c r="B13" s="52"/>
      <c r="C13" s="290" t="s">
        <v>94</v>
      </c>
      <c r="D13" s="292">
        <v>0.44</v>
      </c>
      <c r="E13" s="292">
        <v>0.13</v>
      </c>
      <c r="F13" s="292">
        <v>0.05</v>
      </c>
      <c r="G13" s="293">
        <v>0.38</v>
      </c>
      <c r="H13" s="297"/>
    </row>
    <row r="14" spans="2:12" ht="28.9" thickBot="1" x14ac:dyDescent="0.6">
      <c r="B14" s="52"/>
      <c r="C14" s="291" t="s">
        <v>244</v>
      </c>
      <c r="D14" s="294">
        <v>0.36</v>
      </c>
      <c r="E14" s="294">
        <v>0.23</v>
      </c>
      <c r="F14" s="294">
        <v>0.08</v>
      </c>
      <c r="G14" s="295">
        <v>0.34</v>
      </c>
      <c r="H14" s="298"/>
    </row>
    <row r="15" spans="2:12" ht="14.65" thickBot="1" x14ac:dyDescent="0.5">
      <c r="H15" s="319"/>
    </row>
    <row r="16" spans="2:12" ht="28.5" x14ac:dyDescent="0.55000000000000004">
      <c r="C16" s="290" t="s">
        <v>94</v>
      </c>
      <c r="D16" s="100">
        <v>44</v>
      </c>
      <c r="E16" s="100">
        <v>13</v>
      </c>
      <c r="F16" s="100">
        <v>5</v>
      </c>
      <c r="G16" s="81">
        <v>38</v>
      </c>
      <c r="H16" s="46"/>
    </row>
    <row r="17" spans="3:11" ht="28.9" thickBot="1" x14ac:dyDescent="0.6">
      <c r="C17" s="291" t="s">
        <v>244</v>
      </c>
      <c r="D17" s="80">
        <v>36</v>
      </c>
      <c r="E17" s="80">
        <v>23</v>
      </c>
      <c r="F17" s="80">
        <v>8</v>
      </c>
      <c r="G17" s="99">
        <v>34</v>
      </c>
      <c r="H17" s="318"/>
    </row>
    <row r="18" spans="3:11" ht="18.399999999999999" thickBot="1" x14ac:dyDescent="0.6">
      <c r="H18" s="46"/>
    </row>
    <row r="19" spans="3:11" ht="28.5" x14ac:dyDescent="0.55000000000000004">
      <c r="C19" s="290" t="s">
        <v>94</v>
      </c>
      <c r="D19" s="100">
        <v>88</v>
      </c>
      <c r="E19" s="100">
        <v>26</v>
      </c>
      <c r="F19" s="100">
        <v>10</v>
      </c>
      <c r="G19" s="81">
        <v>76</v>
      </c>
      <c r="H19" s="46"/>
    </row>
    <row r="20" spans="3:11" ht="28.9" thickBot="1" x14ac:dyDescent="0.6">
      <c r="C20" s="291" t="s">
        <v>244</v>
      </c>
      <c r="D20" s="80">
        <v>72</v>
      </c>
      <c r="E20" s="80">
        <v>46</v>
      </c>
      <c r="F20" s="80">
        <v>16</v>
      </c>
      <c r="G20" s="99">
        <v>68</v>
      </c>
      <c r="H20" s="318"/>
    </row>
    <row r="21" spans="3:11" ht="14.65" thickBot="1" x14ac:dyDescent="0.5"/>
    <row r="22" spans="3:11" ht="18.5" customHeight="1" x14ac:dyDescent="0.55000000000000004">
      <c r="C22" s="411" t="s">
        <v>263</v>
      </c>
      <c r="D22" s="412"/>
      <c r="E22" s="412"/>
      <c r="F22" s="412"/>
      <c r="G22" s="413"/>
      <c r="J22" s="38"/>
      <c r="K22" s="38"/>
    </row>
    <row r="23" spans="3:11" ht="18" x14ac:dyDescent="0.55000000000000004">
      <c r="C23" s="91" t="s">
        <v>264</v>
      </c>
      <c r="D23" s="92">
        <v>44</v>
      </c>
      <c r="E23" s="92">
        <v>27</v>
      </c>
      <c r="F23" s="92">
        <v>4</v>
      </c>
      <c r="G23" s="87">
        <v>88</v>
      </c>
      <c r="H23" s="318">
        <v>1.0113636363636365</v>
      </c>
      <c r="J23" s="38"/>
      <c r="K23" s="38"/>
    </row>
    <row r="24" spans="3:11" ht="18" x14ac:dyDescent="0.55000000000000004">
      <c r="C24" s="91" t="s">
        <v>265</v>
      </c>
      <c r="D24" s="92">
        <f>ROUND(163 * D25, 0)</f>
        <v>44</v>
      </c>
      <c r="E24" s="92">
        <f>ROUND(163 * E25, 0)</f>
        <v>27</v>
      </c>
      <c r="F24" s="92">
        <f>ROUND(163 * F25, 0)</f>
        <v>6</v>
      </c>
      <c r="G24" s="87">
        <f>ROUND(163 * G25, 0)</f>
        <v>87</v>
      </c>
      <c r="H24" s="46">
        <v>0.67816091954022983</v>
      </c>
      <c r="J24" s="38"/>
      <c r="K24" s="38"/>
    </row>
    <row r="25" spans="3:11" ht="18.399999999999999" thickBot="1" x14ac:dyDescent="0.6">
      <c r="C25" s="363"/>
      <c r="D25" s="357">
        <v>0.26769999999999999</v>
      </c>
      <c r="E25" s="357">
        <v>0.1643</v>
      </c>
      <c r="F25" s="357">
        <v>3.4599999999999999E-2</v>
      </c>
      <c r="G25" s="90">
        <v>0.53339999999999999</v>
      </c>
      <c r="J25" s="38"/>
      <c r="K25" s="38"/>
    </row>
  </sheetData>
  <mergeCells count="3">
    <mergeCell ref="B1:L1"/>
    <mergeCell ref="B2:G2"/>
    <mergeCell ref="C22:G2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5844-5198-41C6-95B4-DAD92867C934}">
  <sheetPr>
    <tabColor rgb="FFFFC000"/>
  </sheetPr>
  <dimension ref="B1:W48"/>
  <sheetViews>
    <sheetView workbookViewId="0">
      <pane ySplit="2" topLeftCell="A3" activePane="bottomLeft" state="frozen"/>
      <selection pane="bottomLeft" activeCell="B1" sqref="B1:J1"/>
    </sheetView>
  </sheetViews>
  <sheetFormatPr defaultRowHeight="14.25" x14ac:dyDescent="0.45"/>
  <cols>
    <col min="1" max="1" width="2.73046875" customWidth="1"/>
    <col min="2" max="3" width="12.73046875" customWidth="1"/>
    <col min="4" max="4" width="10.19921875" customWidth="1"/>
    <col min="5" max="5" width="11.19921875" customWidth="1"/>
    <col min="6" max="8" width="11.19921875" bestFit="1" customWidth="1"/>
    <col min="9" max="9" width="8.796875" bestFit="1" customWidth="1"/>
  </cols>
  <sheetData>
    <row r="1" spans="2:23" x14ac:dyDescent="0.45">
      <c r="B1" s="400" t="s">
        <v>286</v>
      </c>
      <c r="C1" s="400"/>
      <c r="D1" s="400"/>
      <c r="E1" s="400"/>
      <c r="F1" s="400"/>
      <c r="G1" s="400"/>
      <c r="H1" s="400"/>
      <c r="I1" s="400"/>
      <c r="J1" s="400"/>
      <c r="K1" s="42"/>
      <c r="L1" s="42"/>
      <c r="M1" s="42"/>
      <c r="W1">
        <v>200</v>
      </c>
    </row>
    <row r="2" spans="2:23" s="3" customFormat="1" ht="21" x14ac:dyDescent="0.65">
      <c r="B2" s="397" t="s">
        <v>246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</row>
    <row r="3" spans="2:23" s="3" customFormat="1" ht="21.4" thickBot="1" x14ac:dyDescent="0.7"/>
    <row r="4" spans="2:23" s="37" customFormat="1" ht="18.399999999999999" thickBot="1" x14ac:dyDescent="0.6">
      <c r="B4" s="5" t="s">
        <v>33</v>
      </c>
      <c r="C4" s="49" t="s">
        <v>34</v>
      </c>
      <c r="D4" s="304" t="s">
        <v>28</v>
      </c>
      <c r="E4" s="305" t="s">
        <v>21</v>
      </c>
      <c r="F4" s="305" t="s">
        <v>66</v>
      </c>
      <c r="G4" s="305" t="s">
        <v>67</v>
      </c>
      <c r="H4" s="306" t="s">
        <v>27</v>
      </c>
      <c r="I4" s="307" t="s">
        <v>29</v>
      </c>
    </row>
    <row r="5" spans="2:23" s="37" customFormat="1" ht="18" x14ac:dyDescent="0.55000000000000004">
      <c r="B5" s="320">
        <v>7.2</v>
      </c>
      <c r="C5" s="321">
        <v>8.8000000000000007</v>
      </c>
      <c r="D5" s="48">
        <f>IF(C5&gt;0,B5+C5," ")</f>
        <v>16</v>
      </c>
      <c r="E5" s="43">
        <f>IF(C5&gt;0,(B5 * LN(B5/C5))," ")</f>
        <v>-1.444829007327489</v>
      </c>
      <c r="F5" s="43">
        <f>IF(D5&gt;0,B5*LN(B5)," ")</f>
        <v>14.213383387358469</v>
      </c>
      <c r="G5" s="43">
        <f>IF(D5&gt;0,C5*LN(C5)," ")</f>
        <v>19.137815149060618</v>
      </c>
      <c r="H5" s="43">
        <f>IF(D5&gt;0,D5*LN(D5)," ")</f>
        <v>44.361419555836498</v>
      </c>
      <c r="I5" s="43">
        <f>IF(D5&gt;0,1/D5," ")</f>
        <v>6.25E-2</v>
      </c>
    </row>
    <row r="6" spans="2:23" s="37" customFormat="1" ht="18" x14ac:dyDescent="0.55000000000000004">
      <c r="B6" s="322">
        <v>7.1</v>
      </c>
      <c r="C6" s="323">
        <v>7.5</v>
      </c>
      <c r="D6" s="48">
        <f t="shared" ref="D6:D39" si="0">IF(C6&gt;0,B6+C6," ")</f>
        <v>14.6</v>
      </c>
      <c r="E6" s="43">
        <f t="shared" ref="E6:E39" si="1">IF(C6&gt;0,(B6 * LN(B6/C6))," ")</f>
        <v>-0.3891384791144647</v>
      </c>
      <c r="F6" s="43">
        <f t="shared" ref="F6:F11" si="2">IF(D6&gt;0,B6*LN(B6)," ")</f>
        <v>13.916672966735614</v>
      </c>
      <c r="G6" s="43">
        <f t="shared" ref="G6:G11" si="3">IF(D6&gt;0,C6*LN(C6)," ")</f>
        <v>15.111772654066986</v>
      </c>
      <c r="H6" s="43">
        <f t="shared" ref="H6:H11" si="4">IF(D6&gt;0,D6*LN(D6)," ")</f>
        <v>39.142914319228645</v>
      </c>
      <c r="I6" s="43">
        <f t="shared" ref="I6:I11" si="5">IF(D6&gt;0,1/D6," ")</f>
        <v>6.8493150684931503E-2</v>
      </c>
    </row>
    <row r="7" spans="2:23" s="37" customFormat="1" ht="18" x14ac:dyDescent="0.55000000000000004">
      <c r="B7" s="322">
        <v>9.1</v>
      </c>
      <c r="C7" s="323">
        <v>7.7</v>
      </c>
      <c r="D7" s="48">
        <f t="shared" si="0"/>
        <v>16.8</v>
      </c>
      <c r="E7" s="43">
        <f t="shared" si="1"/>
        <v>1.5201921704348111</v>
      </c>
      <c r="F7" s="43">
        <f t="shared" si="2"/>
        <v>20.09529716305752</v>
      </c>
      <c r="G7" s="43">
        <f t="shared" si="3"/>
        <v>15.717396532219215</v>
      </c>
      <c r="H7" s="43">
        <f t="shared" si="4"/>
        <v>47.399165291674784</v>
      </c>
      <c r="I7" s="43">
        <f t="shared" si="5"/>
        <v>5.9523809523809521E-2</v>
      </c>
    </row>
    <row r="8" spans="2:23" s="37" customFormat="1" ht="18" x14ac:dyDescent="0.55000000000000004">
      <c r="B8" s="322">
        <v>7.2</v>
      </c>
      <c r="C8" s="323">
        <v>7.6</v>
      </c>
      <c r="D8" s="48">
        <f t="shared" si="0"/>
        <v>14.8</v>
      </c>
      <c r="E8" s="43">
        <f t="shared" si="1"/>
        <v>-0.38928399314598505</v>
      </c>
      <c r="F8" s="43">
        <f t="shared" si="2"/>
        <v>14.213383387358469</v>
      </c>
      <c r="G8" s="43">
        <f t="shared" si="3"/>
        <v>15.413926679421367</v>
      </c>
      <c r="H8" s="43">
        <f t="shared" si="4"/>
        <v>39.880482275397029</v>
      </c>
      <c r="I8" s="43">
        <f t="shared" si="5"/>
        <v>6.7567567567567557E-2</v>
      </c>
    </row>
    <row r="9" spans="2:23" s="37" customFormat="1" ht="18" x14ac:dyDescent="0.55000000000000004">
      <c r="B9" s="322">
        <v>7.3</v>
      </c>
      <c r="C9" s="323">
        <v>7.4</v>
      </c>
      <c r="D9" s="48">
        <f t="shared" si="0"/>
        <v>14.7</v>
      </c>
      <c r="E9" s="43">
        <f t="shared" si="1"/>
        <v>-9.9321260007184581E-2</v>
      </c>
      <c r="F9" s="43">
        <f t="shared" si="2"/>
        <v>14.511482741526722</v>
      </c>
      <c r="G9" s="43">
        <f t="shared" si="3"/>
        <v>14.81095200155492</v>
      </c>
      <c r="H9" s="43">
        <f t="shared" si="4"/>
        <v>39.511358158634948</v>
      </c>
      <c r="I9" s="43">
        <f t="shared" si="5"/>
        <v>6.8027210884353748E-2</v>
      </c>
    </row>
    <row r="10" spans="2:23" s="37" customFormat="1" ht="18" x14ac:dyDescent="0.55000000000000004">
      <c r="B10" s="322">
        <v>7.2</v>
      </c>
      <c r="C10" s="323">
        <v>6.7</v>
      </c>
      <c r="D10" s="48">
        <f t="shared" si="0"/>
        <v>13.9</v>
      </c>
      <c r="E10" s="43">
        <f t="shared" si="1"/>
        <v>0.51820919730064252</v>
      </c>
      <c r="F10" s="43">
        <f t="shared" si="2"/>
        <v>14.213383387358469</v>
      </c>
      <c r="G10" s="43">
        <f t="shared" si="3"/>
        <v>12.744120426859368</v>
      </c>
      <c r="H10" s="43">
        <f t="shared" si="4"/>
        <v>36.583254877899378</v>
      </c>
      <c r="I10" s="43">
        <f t="shared" si="5"/>
        <v>7.1942446043165464E-2</v>
      </c>
    </row>
    <row r="11" spans="2:23" s="37" customFormat="1" ht="18" x14ac:dyDescent="0.55000000000000004">
      <c r="B11" s="322">
        <v>7.5</v>
      </c>
      <c r="C11" s="323">
        <v>7.2</v>
      </c>
      <c r="D11" s="48">
        <f t="shared" si="0"/>
        <v>14.7</v>
      </c>
      <c r="E11" s="43">
        <f t="shared" si="1"/>
        <v>0.30616495890191397</v>
      </c>
      <c r="F11" s="43">
        <f t="shared" si="2"/>
        <v>15.111772654066986</v>
      </c>
      <c r="G11" s="43">
        <f t="shared" si="3"/>
        <v>14.213383387358469</v>
      </c>
      <c r="H11" s="43">
        <f t="shared" si="4"/>
        <v>39.511358158634948</v>
      </c>
      <c r="I11" s="43">
        <f t="shared" si="5"/>
        <v>6.8027210884353748E-2</v>
      </c>
    </row>
    <row r="12" spans="2:23" s="37" customFormat="1" ht="18" x14ac:dyDescent="0.55000000000000004">
      <c r="B12" s="302"/>
      <c r="C12" s="303"/>
      <c r="D12" s="48" t="str">
        <f t="shared" si="0"/>
        <v xml:space="preserve"> </v>
      </c>
      <c r="E12" s="43" t="str">
        <f t="shared" si="1"/>
        <v xml:space="preserve"> </v>
      </c>
      <c r="F12" s="43" t="str">
        <f>IF(C12&gt;0,B12*LN(B12)," ")</f>
        <v xml:space="preserve"> </v>
      </c>
      <c r="G12" s="43" t="str">
        <f>IF(C12&gt;0,C12*LN(C12)," ")</f>
        <v xml:space="preserve"> </v>
      </c>
      <c r="H12" s="43" t="str">
        <f>IF(C12&gt;0,D12*LN(D12)," ")</f>
        <v xml:space="preserve"> </v>
      </c>
      <c r="I12" s="43" t="str">
        <f>IF(C12&gt;0,1/D12," ")</f>
        <v xml:space="preserve"> </v>
      </c>
    </row>
    <row r="13" spans="2:23" s="37" customFormat="1" ht="18" hidden="1" x14ac:dyDescent="0.55000000000000004">
      <c r="B13" s="302"/>
      <c r="C13" s="303"/>
      <c r="D13" s="48" t="str">
        <f t="shared" si="0"/>
        <v xml:space="preserve"> </v>
      </c>
      <c r="E13" s="43" t="str">
        <f t="shared" si="1"/>
        <v xml:space="preserve"> </v>
      </c>
      <c r="F13" s="43" t="str">
        <f t="shared" ref="F13:F39" si="6">IF(C13&gt;0,B13*LN(B13)," ")</f>
        <v xml:space="preserve"> </v>
      </c>
      <c r="G13" s="43" t="str">
        <f t="shared" ref="G13:G39" si="7">IF(C13&gt;0,C13*LN(C13)," ")</f>
        <v xml:space="preserve"> </v>
      </c>
      <c r="H13" s="43" t="str">
        <f t="shared" ref="H13:H39" si="8">IF(C13&gt;0,D13*LN(D13)," ")</f>
        <v xml:space="preserve"> </v>
      </c>
      <c r="I13" s="43" t="str">
        <f t="shared" ref="I13:I39" si="9">IF(C13&gt;0,1/D13," ")</f>
        <v xml:space="preserve"> </v>
      </c>
    </row>
    <row r="14" spans="2:23" s="37" customFormat="1" ht="18" hidden="1" x14ac:dyDescent="0.55000000000000004">
      <c r="B14" s="302"/>
      <c r="C14" s="303"/>
      <c r="D14" s="48" t="str">
        <f t="shared" si="0"/>
        <v xml:space="preserve"> </v>
      </c>
      <c r="E14" s="43" t="str">
        <f t="shared" si="1"/>
        <v xml:space="preserve"> </v>
      </c>
      <c r="F14" s="43" t="str">
        <f t="shared" si="6"/>
        <v xml:space="preserve"> </v>
      </c>
      <c r="G14" s="43" t="str">
        <f t="shared" si="7"/>
        <v xml:space="preserve"> </v>
      </c>
      <c r="H14" s="43" t="str">
        <f t="shared" si="8"/>
        <v xml:space="preserve"> </v>
      </c>
      <c r="I14" s="43" t="str">
        <f t="shared" si="9"/>
        <v xml:space="preserve"> </v>
      </c>
    </row>
    <row r="15" spans="2:23" s="37" customFormat="1" ht="18" hidden="1" x14ac:dyDescent="0.55000000000000004">
      <c r="B15" s="302"/>
      <c r="C15" s="303"/>
      <c r="D15" s="48" t="str">
        <f t="shared" si="0"/>
        <v xml:space="preserve"> </v>
      </c>
      <c r="E15" s="43" t="str">
        <f t="shared" si="1"/>
        <v xml:space="preserve"> </v>
      </c>
      <c r="F15" s="43" t="str">
        <f t="shared" si="6"/>
        <v xml:space="preserve"> </v>
      </c>
      <c r="G15" s="43" t="str">
        <f t="shared" si="7"/>
        <v xml:space="preserve"> </v>
      </c>
      <c r="H15" s="43" t="str">
        <f t="shared" si="8"/>
        <v xml:space="preserve"> </v>
      </c>
      <c r="I15" s="43" t="str">
        <f t="shared" si="9"/>
        <v xml:space="preserve"> </v>
      </c>
    </row>
    <row r="16" spans="2:23" s="37" customFormat="1" ht="18" hidden="1" x14ac:dyDescent="0.55000000000000004">
      <c r="B16" s="302"/>
      <c r="C16" s="303"/>
      <c r="D16" s="48" t="str">
        <f t="shared" si="0"/>
        <v xml:space="preserve"> </v>
      </c>
      <c r="E16" s="43" t="str">
        <f t="shared" si="1"/>
        <v xml:space="preserve"> </v>
      </c>
      <c r="F16" s="43" t="str">
        <f t="shared" si="6"/>
        <v xml:space="preserve"> </v>
      </c>
      <c r="G16" s="43" t="str">
        <f t="shared" si="7"/>
        <v xml:space="preserve"> </v>
      </c>
      <c r="H16" s="43" t="str">
        <f t="shared" si="8"/>
        <v xml:space="preserve"> </v>
      </c>
      <c r="I16" s="43" t="str">
        <f t="shared" si="9"/>
        <v xml:space="preserve"> </v>
      </c>
    </row>
    <row r="17" spans="2:9" s="37" customFormat="1" ht="18" hidden="1" x14ac:dyDescent="0.55000000000000004">
      <c r="B17" s="302"/>
      <c r="C17" s="303"/>
      <c r="D17" s="48" t="str">
        <f t="shared" si="0"/>
        <v xml:space="preserve"> </v>
      </c>
      <c r="E17" s="43" t="str">
        <f t="shared" si="1"/>
        <v xml:space="preserve"> </v>
      </c>
      <c r="F17" s="43" t="str">
        <f t="shared" si="6"/>
        <v xml:space="preserve"> </v>
      </c>
      <c r="G17" s="43" t="str">
        <f t="shared" si="7"/>
        <v xml:space="preserve"> </v>
      </c>
      <c r="H17" s="43" t="str">
        <f t="shared" si="8"/>
        <v xml:space="preserve"> </v>
      </c>
      <c r="I17" s="43" t="str">
        <f t="shared" si="9"/>
        <v xml:space="preserve"> </v>
      </c>
    </row>
    <row r="18" spans="2:9" s="37" customFormat="1" ht="18" hidden="1" x14ac:dyDescent="0.55000000000000004">
      <c r="B18" s="302"/>
      <c r="C18" s="303"/>
      <c r="D18" s="48" t="str">
        <f t="shared" si="0"/>
        <v xml:space="preserve"> </v>
      </c>
      <c r="E18" s="43" t="str">
        <f t="shared" si="1"/>
        <v xml:space="preserve"> </v>
      </c>
      <c r="F18" s="43" t="str">
        <f t="shared" si="6"/>
        <v xml:space="preserve"> </v>
      </c>
      <c r="G18" s="43" t="str">
        <f t="shared" si="7"/>
        <v xml:space="preserve"> </v>
      </c>
      <c r="H18" s="43" t="str">
        <f t="shared" si="8"/>
        <v xml:space="preserve"> </v>
      </c>
      <c r="I18" s="43" t="str">
        <f t="shared" si="9"/>
        <v xml:space="preserve"> </v>
      </c>
    </row>
    <row r="19" spans="2:9" s="37" customFormat="1" ht="18" hidden="1" x14ac:dyDescent="0.55000000000000004">
      <c r="B19" s="302"/>
      <c r="C19" s="303"/>
      <c r="D19" s="48" t="str">
        <f t="shared" si="0"/>
        <v xml:space="preserve"> </v>
      </c>
      <c r="E19" s="43" t="str">
        <f t="shared" si="1"/>
        <v xml:space="preserve"> </v>
      </c>
      <c r="F19" s="43" t="str">
        <f t="shared" si="6"/>
        <v xml:space="preserve"> </v>
      </c>
      <c r="G19" s="43" t="str">
        <f t="shared" si="7"/>
        <v xml:space="preserve"> </v>
      </c>
      <c r="H19" s="43" t="str">
        <f t="shared" si="8"/>
        <v xml:space="preserve"> </v>
      </c>
      <c r="I19" s="43" t="str">
        <f t="shared" si="9"/>
        <v xml:space="preserve"> </v>
      </c>
    </row>
    <row r="20" spans="2:9" s="37" customFormat="1" ht="18" hidden="1" x14ac:dyDescent="0.55000000000000004">
      <c r="B20" s="302"/>
      <c r="C20" s="303"/>
      <c r="D20" s="48" t="str">
        <f t="shared" si="0"/>
        <v xml:space="preserve"> </v>
      </c>
      <c r="E20" s="43" t="str">
        <f t="shared" si="1"/>
        <v xml:space="preserve"> </v>
      </c>
      <c r="F20" s="43" t="str">
        <f t="shared" si="6"/>
        <v xml:space="preserve"> </v>
      </c>
      <c r="G20" s="43" t="str">
        <f t="shared" si="7"/>
        <v xml:space="preserve"> </v>
      </c>
      <c r="H20" s="43" t="str">
        <f t="shared" si="8"/>
        <v xml:space="preserve"> </v>
      </c>
      <c r="I20" s="43" t="str">
        <f t="shared" si="9"/>
        <v xml:space="preserve"> </v>
      </c>
    </row>
    <row r="21" spans="2:9" s="37" customFormat="1" ht="18" hidden="1" x14ac:dyDescent="0.55000000000000004">
      <c r="B21" s="302"/>
      <c r="C21" s="303"/>
      <c r="D21" s="48" t="str">
        <f t="shared" si="0"/>
        <v xml:space="preserve"> </v>
      </c>
      <c r="E21" s="43" t="str">
        <f t="shared" si="1"/>
        <v xml:space="preserve"> </v>
      </c>
      <c r="F21" s="43" t="str">
        <f t="shared" si="6"/>
        <v xml:space="preserve"> </v>
      </c>
      <c r="G21" s="43" t="str">
        <f t="shared" si="7"/>
        <v xml:space="preserve"> </v>
      </c>
      <c r="H21" s="43" t="str">
        <f t="shared" si="8"/>
        <v xml:space="preserve"> </v>
      </c>
      <c r="I21" s="43" t="str">
        <f t="shared" si="9"/>
        <v xml:space="preserve"> </v>
      </c>
    </row>
    <row r="22" spans="2:9" s="37" customFormat="1" ht="18" hidden="1" x14ac:dyDescent="0.55000000000000004">
      <c r="B22" s="302"/>
      <c r="C22" s="303"/>
      <c r="D22" s="48" t="str">
        <f t="shared" si="0"/>
        <v xml:space="preserve"> </v>
      </c>
      <c r="E22" s="43" t="str">
        <f t="shared" si="1"/>
        <v xml:space="preserve"> </v>
      </c>
      <c r="F22" s="43" t="str">
        <f t="shared" si="6"/>
        <v xml:space="preserve"> </v>
      </c>
      <c r="G22" s="43" t="str">
        <f t="shared" si="7"/>
        <v xml:space="preserve"> </v>
      </c>
      <c r="H22" s="43" t="str">
        <f t="shared" si="8"/>
        <v xml:space="preserve"> </v>
      </c>
      <c r="I22" s="43" t="str">
        <f t="shared" si="9"/>
        <v xml:space="preserve"> </v>
      </c>
    </row>
    <row r="23" spans="2:9" s="37" customFormat="1" ht="18" hidden="1" x14ac:dyDescent="0.55000000000000004">
      <c r="B23" s="302"/>
      <c r="C23" s="303"/>
      <c r="D23" s="48" t="str">
        <f t="shared" si="0"/>
        <v xml:space="preserve"> </v>
      </c>
      <c r="E23" s="43" t="str">
        <f t="shared" si="1"/>
        <v xml:space="preserve"> </v>
      </c>
      <c r="F23" s="43" t="str">
        <f t="shared" si="6"/>
        <v xml:space="preserve"> </v>
      </c>
      <c r="G23" s="43" t="str">
        <f t="shared" si="7"/>
        <v xml:space="preserve"> </v>
      </c>
      <c r="H23" s="43" t="str">
        <f t="shared" si="8"/>
        <v xml:space="preserve"> </v>
      </c>
      <c r="I23" s="43" t="str">
        <f t="shared" si="9"/>
        <v xml:space="preserve"> </v>
      </c>
    </row>
    <row r="24" spans="2:9" s="37" customFormat="1" ht="18" hidden="1" x14ac:dyDescent="0.55000000000000004">
      <c r="B24" s="302"/>
      <c r="C24" s="303"/>
      <c r="D24" s="48" t="str">
        <f t="shared" si="0"/>
        <v xml:space="preserve"> </v>
      </c>
      <c r="E24" s="43" t="str">
        <f t="shared" si="1"/>
        <v xml:space="preserve"> </v>
      </c>
      <c r="F24" s="43" t="str">
        <f t="shared" si="6"/>
        <v xml:space="preserve"> </v>
      </c>
      <c r="G24" s="43" t="str">
        <f t="shared" si="7"/>
        <v xml:space="preserve"> </v>
      </c>
      <c r="H24" s="43" t="str">
        <f t="shared" si="8"/>
        <v xml:space="preserve"> </v>
      </c>
      <c r="I24" s="43" t="str">
        <f t="shared" si="9"/>
        <v xml:space="preserve"> </v>
      </c>
    </row>
    <row r="25" spans="2:9" s="37" customFormat="1" ht="18" hidden="1" x14ac:dyDescent="0.55000000000000004">
      <c r="B25" s="302"/>
      <c r="C25" s="303"/>
      <c r="D25" s="48" t="str">
        <f t="shared" si="0"/>
        <v xml:space="preserve"> </v>
      </c>
      <c r="E25" s="43" t="str">
        <f t="shared" si="1"/>
        <v xml:space="preserve"> </v>
      </c>
      <c r="F25" s="43" t="str">
        <f t="shared" si="6"/>
        <v xml:space="preserve"> </v>
      </c>
      <c r="G25" s="43" t="str">
        <f t="shared" si="7"/>
        <v xml:space="preserve"> </v>
      </c>
      <c r="H25" s="43" t="str">
        <f t="shared" si="8"/>
        <v xml:space="preserve"> </v>
      </c>
      <c r="I25" s="43" t="str">
        <f t="shared" si="9"/>
        <v xml:space="preserve"> </v>
      </c>
    </row>
    <row r="26" spans="2:9" s="37" customFormat="1" ht="18" hidden="1" x14ac:dyDescent="0.55000000000000004">
      <c r="B26" s="302"/>
      <c r="C26" s="303"/>
      <c r="D26" s="48" t="str">
        <f t="shared" si="0"/>
        <v xml:space="preserve"> </v>
      </c>
      <c r="E26" s="43" t="str">
        <f t="shared" si="1"/>
        <v xml:space="preserve"> </v>
      </c>
      <c r="F26" s="43" t="str">
        <f t="shared" si="6"/>
        <v xml:space="preserve"> </v>
      </c>
      <c r="G26" s="43" t="str">
        <f t="shared" si="7"/>
        <v xml:space="preserve"> </v>
      </c>
      <c r="H26" s="43" t="str">
        <f t="shared" si="8"/>
        <v xml:space="preserve"> </v>
      </c>
      <c r="I26" s="43" t="str">
        <f t="shared" si="9"/>
        <v xml:space="preserve"> </v>
      </c>
    </row>
    <row r="27" spans="2:9" s="37" customFormat="1" ht="18" hidden="1" x14ac:dyDescent="0.55000000000000004">
      <c r="B27" s="302"/>
      <c r="C27" s="303"/>
      <c r="D27" s="48" t="str">
        <f t="shared" si="0"/>
        <v xml:space="preserve"> </v>
      </c>
      <c r="E27" s="43" t="str">
        <f t="shared" si="1"/>
        <v xml:space="preserve"> </v>
      </c>
      <c r="F27" s="43" t="str">
        <f t="shared" si="6"/>
        <v xml:space="preserve"> </v>
      </c>
      <c r="G27" s="43" t="str">
        <f t="shared" si="7"/>
        <v xml:space="preserve"> </v>
      </c>
      <c r="H27" s="43" t="str">
        <f t="shared" si="8"/>
        <v xml:space="preserve"> </v>
      </c>
      <c r="I27" s="43" t="str">
        <f t="shared" si="9"/>
        <v xml:space="preserve"> </v>
      </c>
    </row>
    <row r="28" spans="2:9" s="37" customFormat="1" ht="18" hidden="1" x14ac:dyDescent="0.55000000000000004">
      <c r="B28" s="302"/>
      <c r="C28" s="303"/>
      <c r="D28" s="48" t="str">
        <f t="shared" si="0"/>
        <v xml:space="preserve"> </v>
      </c>
      <c r="E28" s="43" t="str">
        <f t="shared" si="1"/>
        <v xml:space="preserve"> </v>
      </c>
      <c r="F28" s="43" t="str">
        <f t="shared" si="6"/>
        <v xml:space="preserve"> </v>
      </c>
      <c r="G28" s="43" t="str">
        <f t="shared" si="7"/>
        <v xml:space="preserve"> </v>
      </c>
      <c r="H28" s="43" t="str">
        <f t="shared" si="8"/>
        <v xml:space="preserve"> </v>
      </c>
      <c r="I28" s="43" t="str">
        <f t="shared" si="9"/>
        <v xml:space="preserve"> </v>
      </c>
    </row>
    <row r="29" spans="2:9" s="37" customFormat="1" ht="18" hidden="1" x14ac:dyDescent="0.55000000000000004">
      <c r="B29" s="302"/>
      <c r="C29" s="303"/>
      <c r="D29" s="48" t="str">
        <f t="shared" si="0"/>
        <v xml:space="preserve"> </v>
      </c>
      <c r="E29" s="43" t="str">
        <f t="shared" si="1"/>
        <v xml:space="preserve"> </v>
      </c>
      <c r="F29" s="43" t="str">
        <f t="shared" si="6"/>
        <v xml:space="preserve"> </v>
      </c>
      <c r="G29" s="43" t="str">
        <f t="shared" si="7"/>
        <v xml:space="preserve"> </v>
      </c>
      <c r="H29" s="43" t="str">
        <f t="shared" si="8"/>
        <v xml:space="preserve"> </v>
      </c>
      <c r="I29" s="43" t="str">
        <f t="shared" si="9"/>
        <v xml:space="preserve"> </v>
      </c>
    </row>
    <row r="30" spans="2:9" s="37" customFormat="1" ht="18" hidden="1" x14ac:dyDescent="0.55000000000000004">
      <c r="B30" s="302"/>
      <c r="C30" s="303"/>
      <c r="D30" s="48" t="str">
        <f t="shared" si="0"/>
        <v xml:space="preserve"> </v>
      </c>
      <c r="E30" s="43" t="str">
        <f t="shared" si="1"/>
        <v xml:space="preserve"> </v>
      </c>
      <c r="F30" s="43" t="str">
        <f t="shared" si="6"/>
        <v xml:space="preserve"> </v>
      </c>
      <c r="G30" s="43" t="str">
        <f t="shared" si="7"/>
        <v xml:space="preserve"> </v>
      </c>
      <c r="H30" s="43" t="str">
        <f t="shared" si="8"/>
        <v xml:space="preserve"> </v>
      </c>
      <c r="I30" s="43" t="str">
        <f t="shared" si="9"/>
        <v xml:space="preserve"> </v>
      </c>
    </row>
    <row r="31" spans="2:9" s="37" customFormat="1" ht="18" hidden="1" x14ac:dyDescent="0.55000000000000004">
      <c r="B31" s="302"/>
      <c r="C31" s="303"/>
      <c r="D31" s="48" t="str">
        <f t="shared" si="0"/>
        <v xml:space="preserve"> </v>
      </c>
      <c r="E31" s="43" t="str">
        <f t="shared" si="1"/>
        <v xml:space="preserve"> </v>
      </c>
      <c r="F31" s="43" t="str">
        <f t="shared" si="6"/>
        <v xml:space="preserve"> </v>
      </c>
      <c r="G31" s="43" t="str">
        <f t="shared" si="7"/>
        <v xml:space="preserve"> </v>
      </c>
      <c r="H31" s="43" t="str">
        <f t="shared" si="8"/>
        <v xml:space="preserve"> </v>
      </c>
      <c r="I31" s="43" t="str">
        <f t="shared" si="9"/>
        <v xml:space="preserve"> </v>
      </c>
    </row>
    <row r="32" spans="2:9" s="37" customFormat="1" ht="18" hidden="1" x14ac:dyDescent="0.55000000000000004">
      <c r="B32" s="302"/>
      <c r="C32" s="303"/>
      <c r="D32" s="48" t="str">
        <f t="shared" si="0"/>
        <v xml:space="preserve"> </v>
      </c>
      <c r="E32" s="43" t="str">
        <f t="shared" si="1"/>
        <v xml:space="preserve"> </v>
      </c>
      <c r="F32" s="43" t="str">
        <f t="shared" si="6"/>
        <v xml:space="preserve"> </v>
      </c>
      <c r="G32" s="43" t="str">
        <f t="shared" si="7"/>
        <v xml:space="preserve"> </v>
      </c>
      <c r="H32" s="43" t="str">
        <f t="shared" si="8"/>
        <v xml:space="preserve"> </v>
      </c>
      <c r="I32" s="43" t="str">
        <f t="shared" si="9"/>
        <v xml:space="preserve"> </v>
      </c>
    </row>
    <row r="33" spans="2:11" s="37" customFormat="1" ht="18" hidden="1" x14ac:dyDescent="0.55000000000000004">
      <c r="B33" s="302"/>
      <c r="C33" s="303"/>
      <c r="D33" s="48" t="str">
        <f t="shared" si="0"/>
        <v xml:space="preserve"> </v>
      </c>
      <c r="E33" s="43" t="str">
        <f t="shared" si="1"/>
        <v xml:space="preserve"> </v>
      </c>
      <c r="F33" s="43" t="str">
        <f t="shared" si="6"/>
        <v xml:space="preserve"> </v>
      </c>
      <c r="G33" s="43" t="str">
        <f t="shared" si="7"/>
        <v xml:space="preserve"> </v>
      </c>
      <c r="H33" s="43" t="str">
        <f t="shared" si="8"/>
        <v xml:space="preserve"> </v>
      </c>
      <c r="I33" s="43" t="str">
        <f t="shared" si="9"/>
        <v xml:space="preserve"> </v>
      </c>
    </row>
    <row r="34" spans="2:11" s="37" customFormat="1" ht="18" hidden="1" x14ac:dyDescent="0.55000000000000004">
      <c r="B34" s="302"/>
      <c r="C34" s="303"/>
      <c r="D34" s="48" t="str">
        <f t="shared" si="0"/>
        <v xml:space="preserve"> </v>
      </c>
      <c r="E34" s="43" t="str">
        <f t="shared" si="1"/>
        <v xml:space="preserve"> </v>
      </c>
      <c r="F34" s="43" t="str">
        <f t="shared" si="6"/>
        <v xml:space="preserve"> </v>
      </c>
      <c r="G34" s="43" t="str">
        <f t="shared" si="7"/>
        <v xml:space="preserve"> </v>
      </c>
      <c r="H34" s="43" t="str">
        <f t="shared" si="8"/>
        <v xml:space="preserve"> </v>
      </c>
      <c r="I34" s="43" t="str">
        <f t="shared" si="9"/>
        <v xml:space="preserve"> </v>
      </c>
    </row>
    <row r="35" spans="2:11" s="37" customFormat="1" ht="18" hidden="1" x14ac:dyDescent="0.55000000000000004">
      <c r="B35" s="302"/>
      <c r="C35" s="303"/>
      <c r="D35" s="48" t="str">
        <f t="shared" si="0"/>
        <v xml:space="preserve"> </v>
      </c>
      <c r="E35" s="43" t="str">
        <f t="shared" si="1"/>
        <v xml:space="preserve"> </v>
      </c>
      <c r="F35" s="43" t="str">
        <f t="shared" si="6"/>
        <v xml:space="preserve"> </v>
      </c>
      <c r="G35" s="43" t="str">
        <f t="shared" si="7"/>
        <v xml:space="preserve"> </v>
      </c>
      <c r="H35" s="43" t="str">
        <f t="shared" si="8"/>
        <v xml:space="preserve"> </v>
      </c>
      <c r="I35" s="43" t="str">
        <f t="shared" si="9"/>
        <v xml:space="preserve"> </v>
      </c>
    </row>
    <row r="36" spans="2:11" s="37" customFormat="1" ht="18" hidden="1" x14ac:dyDescent="0.55000000000000004">
      <c r="B36" s="302"/>
      <c r="C36" s="303"/>
      <c r="D36" s="48" t="str">
        <f t="shared" si="0"/>
        <v xml:space="preserve"> </v>
      </c>
      <c r="E36" s="43" t="str">
        <f t="shared" si="1"/>
        <v xml:space="preserve"> </v>
      </c>
      <c r="F36" s="43" t="str">
        <f t="shared" si="6"/>
        <v xml:space="preserve"> </v>
      </c>
      <c r="G36" s="43" t="str">
        <f t="shared" si="7"/>
        <v xml:space="preserve"> </v>
      </c>
      <c r="H36" s="43" t="str">
        <f t="shared" si="8"/>
        <v xml:space="preserve"> </v>
      </c>
      <c r="I36" s="43" t="str">
        <f t="shared" si="9"/>
        <v xml:space="preserve"> </v>
      </c>
    </row>
    <row r="37" spans="2:11" s="37" customFormat="1" ht="18" hidden="1" x14ac:dyDescent="0.55000000000000004">
      <c r="B37" s="302"/>
      <c r="C37" s="303"/>
      <c r="D37" s="48" t="str">
        <f t="shared" si="0"/>
        <v xml:space="preserve"> </v>
      </c>
      <c r="E37" s="43" t="str">
        <f t="shared" si="1"/>
        <v xml:space="preserve"> </v>
      </c>
      <c r="F37" s="43" t="str">
        <f t="shared" si="6"/>
        <v xml:space="preserve"> </v>
      </c>
      <c r="G37" s="43" t="str">
        <f t="shared" si="7"/>
        <v xml:space="preserve"> </v>
      </c>
      <c r="H37" s="43" t="str">
        <f t="shared" si="8"/>
        <v xml:space="preserve"> </v>
      </c>
      <c r="I37" s="43" t="str">
        <f t="shared" si="9"/>
        <v xml:space="preserve"> </v>
      </c>
    </row>
    <row r="38" spans="2:11" s="37" customFormat="1" ht="18" hidden="1" x14ac:dyDescent="0.55000000000000004">
      <c r="B38" s="302"/>
      <c r="C38" s="303"/>
      <c r="D38" s="48" t="str">
        <f t="shared" si="0"/>
        <v xml:space="preserve"> </v>
      </c>
      <c r="E38" s="43" t="str">
        <f t="shared" si="1"/>
        <v xml:space="preserve"> </v>
      </c>
      <c r="F38" s="43" t="str">
        <f t="shared" si="6"/>
        <v xml:space="preserve"> </v>
      </c>
      <c r="G38" s="43" t="str">
        <f t="shared" si="7"/>
        <v xml:space="preserve"> </v>
      </c>
      <c r="H38" s="43" t="str">
        <f t="shared" si="8"/>
        <v xml:space="preserve"> </v>
      </c>
      <c r="I38" s="43" t="str">
        <f t="shared" si="9"/>
        <v xml:space="preserve"> </v>
      </c>
    </row>
    <row r="39" spans="2:11" s="37" customFormat="1" ht="18" x14ac:dyDescent="0.55000000000000004">
      <c r="B39" s="302"/>
      <c r="C39" s="303"/>
      <c r="D39" s="48" t="str">
        <f t="shared" si="0"/>
        <v xml:space="preserve"> </v>
      </c>
      <c r="E39" s="43" t="str">
        <f t="shared" si="1"/>
        <v xml:space="preserve"> </v>
      </c>
      <c r="F39" s="43" t="str">
        <f t="shared" si="6"/>
        <v xml:space="preserve"> </v>
      </c>
      <c r="G39" s="43" t="str">
        <f t="shared" si="7"/>
        <v xml:space="preserve"> </v>
      </c>
      <c r="H39" s="43" t="str">
        <f t="shared" si="8"/>
        <v xml:space="preserve"> </v>
      </c>
      <c r="I39" s="43" t="str">
        <f t="shared" si="9"/>
        <v xml:space="preserve"> </v>
      </c>
    </row>
    <row r="40" spans="2:11" s="37" customFormat="1" ht="18" x14ac:dyDescent="0.55000000000000004">
      <c r="B40" s="31">
        <f>SUM(B5:B39)</f>
        <v>52.6</v>
      </c>
      <c r="C40" s="31">
        <f>SUM(C5:C39)</f>
        <v>52.900000000000006</v>
      </c>
      <c r="D40" s="31">
        <f>SUM(D5:D39)</f>
        <v>105.50000000000001</v>
      </c>
      <c r="E40" s="30"/>
      <c r="F40" s="32"/>
    </row>
    <row r="41" spans="2:11" ht="14.65" thickBot="1" x14ac:dyDescent="0.5"/>
    <row r="42" spans="2:11" ht="18.399999999999999" thickBot="1" x14ac:dyDescent="0.6">
      <c r="B42" s="31">
        <v>1</v>
      </c>
      <c r="C42" s="39">
        <f xml:space="preserve"> SUM(F5:G39)</f>
        <v>213.42474251800317</v>
      </c>
      <c r="D42" s="41" t="s">
        <v>196</v>
      </c>
      <c r="E42" s="37"/>
      <c r="F42" s="37"/>
      <c r="G42" s="37"/>
      <c r="H42" s="207"/>
      <c r="I42" s="233" t="s">
        <v>201</v>
      </c>
      <c r="J42" s="233" t="s">
        <v>202</v>
      </c>
      <c r="K42" s="234" t="s">
        <v>203</v>
      </c>
    </row>
    <row r="43" spans="2:11" ht="18.399999999999999" thickBot="1" x14ac:dyDescent="0.6">
      <c r="B43" s="31">
        <v>2</v>
      </c>
      <c r="C43" s="39">
        <f>SUM(H5:H39)</f>
        <v>286.38995263730624</v>
      </c>
      <c r="D43" s="41" t="s">
        <v>197</v>
      </c>
      <c r="E43" s="37"/>
      <c r="F43" s="37"/>
      <c r="G43" s="37"/>
      <c r="H43" s="208" t="s">
        <v>204</v>
      </c>
      <c r="I43" s="209">
        <v>6.2510000000000003</v>
      </c>
      <c r="J43" s="210">
        <v>11.345000000000001</v>
      </c>
      <c r="K43" s="211">
        <v>16.265999999999998</v>
      </c>
    </row>
    <row r="44" spans="2:11" ht="18" x14ac:dyDescent="0.55000000000000004">
      <c r="B44" s="31">
        <v>3</v>
      </c>
      <c r="C44" s="39">
        <f>(B40*LN(B40)+C40*LN(C40))</f>
        <v>418.36740452443581</v>
      </c>
      <c r="D44" s="41" t="s">
        <v>198</v>
      </c>
      <c r="E44" s="37"/>
      <c r="F44" s="37"/>
      <c r="G44" s="37"/>
      <c r="H44" s="37"/>
      <c r="I44" s="37"/>
    </row>
    <row r="45" spans="2:11" ht="18" x14ac:dyDescent="0.55000000000000004">
      <c r="B45" s="31">
        <v>4</v>
      </c>
      <c r="C45" s="39">
        <f>D40*LN(D40)</f>
        <v>491.49400553265087</v>
      </c>
      <c r="D45" s="41" t="s">
        <v>197</v>
      </c>
      <c r="E45" s="37"/>
      <c r="F45" s="37"/>
      <c r="G45" s="37"/>
      <c r="H45" s="37"/>
      <c r="I45" s="37"/>
    </row>
    <row r="46" spans="2:11" ht="18" x14ac:dyDescent="0.55000000000000004">
      <c r="B46" s="31">
        <v>5</v>
      </c>
      <c r="C46" s="258">
        <f>2*(C42 - C43 - C44 +C45)</f>
        <v>0.32278177782393414</v>
      </c>
      <c r="D46" s="259" t="s">
        <v>222</v>
      </c>
      <c r="E46" s="41" t="s">
        <v>31</v>
      </c>
      <c r="F46" s="37"/>
      <c r="G46" s="37"/>
      <c r="H46" s="37"/>
      <c r="I46" s="37"/>
    </row>
    <row r="47" spans="2:11" ht="18" x14ac:dyDescent="0.55000000000000004">
      <c r="B47" s="31">
        <v>6</v>
      </c>
      <c r="C47" s="39">
        <f>1 + (E47*F47/G47)</f>
        <v>1.0414347558564283</v>
      </c>
      <c r="D47" s="41" t="s">
        <v>26</v>
      </c>
      <c r="E47" s="39">
        <f>D40*(I5 + I6 + I7 +I8) - 1</f>
        <v>26.227917680400559</v>
      </c>
      <c r="F47" s="39">
        <f>D40*(1/B40 + 1/C40) - 1</f>
        <v>3.0000323445485062</v>
      </c>
      <c r="G47" s="37">
        <f xml:space="preserve"> 6* D40 *1 * 3</f>
        <v>1899.0000000000005</v>
      </c>
      <c r="H47" s="37"/>
      <c r="I47" s="37"/>
    </row>
    <row r="48" spans="2:11" ht="18" x14ac:dyDescent="0.55000000000000004">
      <c r="B48" s="29"/>
      <c r="C48" s="410" t="s">
        <v>30</v>
      </c>
      <c r="D48" s="410"/>
      <c r="E48" s="46">
        <f>C46/C47</f>
        <v>0.30993950990092811</v>
      </c>
    </row>
  </sheetData>
  <mergeCells count="3">
    <mergeCell ref="B1:J1"/>
    <mergeCell ref="C48:D48"/>
    <mergeCell ref="B2:N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644E4-7F90-49D9-8875-C648E164A92B}">
  <sheetPr>
    <tabColor rgb="FFFFC000"/>
  </sheetPr>
  <dimension ref="A1:AA39"/>
  <sheetViews>
    <sheetView workbookViewId="0">
      <pane ySplit="6" topLeftCell="A7" activePane="bottomLeft" state="frozen"/>
      <selection pane="bottomLeft" sqref="A1:I1"/>
    </sheetView>
  </sheetViews>
  <sheetFormatPr defaultRowHeight="14.25" x14ac:dyDescent="0.45"/>
  <cols>
    <col min="1" max="1" width="8.796875" bestFit="1" customWidth="1"/>
    <col min="2" max="2" width="11.265625" bestFit="1" customWidth="1"/>
    <col min="3" max="3" width="10.19921875" bestFit="1" customWidth="1"/>
    <col min="4" max="4" width="10.06640625" customWidth="1"/>
    <col min="5" max="5" width="11.06640625" customWidth="1"/>
    <col min="6" max="8" width="11.19921875" bestFit="1" customWidth="1"/>
    <col min="9" max="9" width="8.796875" bestFit="1" customWidth="1"/>
    <col min="10" max="23" width="8.73046875" customWidth="1"/>
  </cols>
  <sheetData>
    <row r="1" spans="1:22" ht="21.4" thickBot="1" x14ac:dyDescent="0.7">
      <c r="A1" s="421" t="s">
        <v>286</v>
      </c>
      <c r="B1" s="422"/>
      <c r="C1" s="422"/>
      <c r="D1" s="422"/>
      <c r="E1" s="422"/>
      <c r="F1" s="422"/>
      <c r="G1" s="422"/>
      <c r="H1" s="422"/>
      <c r="I1" s="423"/>
      <c r="J1" s="196"/>
      <c r="K1" s="196"/>
      <c r="L1" s="196"/>
      <c r="V1" s="3"/>
    </row>
    <row r="2" spans="1:22" s="3" customFormat="1" ht="21" x14ac:dyDescent="0.65">
      <c r="A2" s="397" t="s">
        <v>266</v>
      </c>
      <c r="B2" s="397"/>
      <c r="C2" s="397"/>
      <c r="D2" s="397"/>
      <c r="E2" s="397"/>
      <c r="F2" s="397"/>
      <c r="G2" s="397"/>
      <c r="H2" s="397"/>
      <c r="I2" s="397"/>
      <c r="J2" s="260" t="s">
        <v>267</v>
      </c>
    </row>
    <row r="3" spans="1:22" s="55" customFormat="1" ht="15.75" x14ac:dyDescent="0.5">
      <c r="B3" s="55" t="s">
        <v>268</v>
      </c>
      <c r="C3" s="260"/>
      <c r="D3" s="260"/>
    </row>
    <row r="4" spans="1:22" s="55" customFormat="1" ht="15.75" x14ac:dyDescent="0.5">
      <c r="A4" s="364"/>
      <c r="B4" s="365" t="s">
        <v>269</v>
      </c>
      <c r="C4" s="364"/>
      <c r="D4" s="364"/>
      <c r="E4" s="364"/>
      <c r="F4" s="364"/>
      <c r="G4" s="364"/>
      <c r="H4" s="364"/>
      <c r="I4" s="364"/>
    </row>
    <row r="5" spans="1:22" s="55" customFormat="1" ht="15.75" x14ac:dyDescent="0.5">
      <c r="A5" s="364"/>
      <c r="B5" s="424" t="s">
        <v>270</v>
      </c>
      <c r="C5" s="424"/>
      <c r="D5" s="424"/>
      <c r="E5" s="425" t="s">
        <v>271</v>
      </c>
      <c r="F5" s="425"/>
      <c r="G5" s="425"/>
      <c r="H5" s="425"/>
      <c r="I5" s="426" t="s">
        <v>272</v>
      </c>
      <c r="J5" s="426"/>
      <c r="K5" s="426"/>
      <c r="L5" s="426"/>
    </row>
    <row r="6" spans="1:22" s="55" customFormat="1" ht="15.75" x14ac:dyDescent="0.5">
      <c r="A6" s="260"/>
      <c r="B6" s="260"/>
      <c r="D6" s="366" t="s">
        <v>273</v>
      </c>
      <c r="E6" s="367"/>
      <c r="F6" s="367"/>
      <c r="G6" s="367"/>
      <c r="H6" s="367"/>
      <c r="I6" s="367"/>
      <c r="J6" s="367"/>
    </row>
    <row r="7" spans="1:22" s="3" customFormat="1" ht="21.4" thickBot="1" x14ac:dyDescent="0.7"/>
    <row r="8" spans="1:22" s="37" customFormat="1" ht="21.4" thickBot="1" x14ac:dyDescent="0.7">
      <c r="A8" s="70" t="s">
        <v>68</v>
      </c>
      <c r="B8" s="5" t="s">
        <v>33</v>
      </c>
      <c r="C8" s="49" t="s">
        <v>34</v>
      </c>
      <c r="D8" s="197" t="s">
        <v>195</v>
      </c>
      <c r="E8" s="49" t="s">
        <v>66</v>
      </c>
      <c r="F8" s="49" t="s">
        <v>67</v>
      </c>
      <c r="G8" s="50" t="s">
        <v>27</v>
      </c>
      <c r="H8" s="51" t="s">
        <v>29</v>
      </c>
      <c r="J8" s="3"/>
      <c r="K8" s="198" t="s">
        <v>61</v>
      </c>
      <c r="L8" s="198" t="s">
        <v>62</v>
      </c>
      <c r="M8" s="198" t="s">
        <v>65</v>
      </c>
      <c r="N8" s="198" t="s">
        <v>63</v>
      </c>
      <c r="O8" s="37" t="s">
        <v>25</v>
      </c>
      <c r="P8" s="31">
        <v>100</v>
      </c>
      <c r="Q8" s="31">
        <v>200</v>
      </c>
      <c r="R8" s="31">
        <v>400</v>
      </c>
      <c r="S8" s="31">
        <v>1000</v>
      </c>
    </row>
    <row r="9" spans="1:22" s="37" customFormat="1" ht="18" x14ac:dyDescent="0.55000000000000004">
      <c r="A9" s="199" t="s">
        <v>61</v>
      </c>
      <c r="B9" s="368">
        <v>370</v>
      </c>
      <c r="C9" s="369">
        <v>370</v>
      </c>
      <c r="D9" s="37">
        <f>B9+C9</f>
        <v>740</v>
      </c>
      <c r="E9" s="43">
        <f t="shared" ref="E9:G12" si="0">B9*LN(B9)</f>
        <v>2187.9961120861599</v>
      </c>
      <c r="F9" s="43">
        <f t="shared" si="0"/>
        <v>2187.9961120861599</v>
      </c>
      <c r="G9" s="43">
        <f t="shared" si="0"/>
        <v>4888.9211377866795</v>
      </c>
      <c r="H9" s="77">
        <f>1/D9</f>
        <v>1.3513513513513514E-3</v>
      </c>
      <c r="J9" s="260" t="s">
        <v>143</v>
      </c>
      <c r="K9" s="124">
        <v>27</v>
      </c>
      <c r="L9" s="124">
        <v>20</v>
      </c>
      <c r="M9" s="124">
        <v>4</v>
      </c>
      <c r="N9" s="124">
        <v>49</v>
      </c>
      <c r="P9" s="370"/>
      <c r="Q9" s="370"/>
      <c r="R9" s="370"/>
      <c r="S9" s="370"/>
    </row>
    <row r="10" spans="1:22" s="37" customFormat="1" ht="18" x14ac:dyDescent="0.55000000000000004">
      <c r="A10" s="199" t="s">
        <v>62</v>
      </c>
      <c r="B10" s="368">
        <v>160</v>
      </c>
      <c r="C10" s="369">
        <v>160</v>
      </c>
      <c r="D10" s="37">
        <f>B10+C10</f>
        <v>320</v>
      </c>
      <c r="E10" s="43">
        <f t="shared" si="0"/>
        <v>812.0278104374122</v>
      </c>
      <c r="F10" s="43">
        <f t="shared" si="0"/>
        <v>812.0278104374122</v>
      </c>
      <c r="G10" s="43">
        <f t="shared" si="0"/>
        <v>1845.862718654007</v>
      </c>
      <c r="H10" s="77">
        <f>1/D10</f>
        <v>3.1250000000000002E-3</v>
      </c>
      <c r="J10" s="260" t="s">
        <v>144</v>
      </c>
      <c r="K10" s="124">
        <v>40</v>
      </c>
      <c r="L10" s="124">
        <v>11</v>
      </c>
      <c r="M10" s="124">
        <v>4</v>
      </c>
      <c r="N10" s="124">
        <v>45</v>
      </c>
      <c r="P10" s="414"/>
      <c r="Q10" s="414"/>
      <c r="R10" s="370"/>
      <c r="S10" s="370"/>
    </row>
    <row r="11" spans="1:22" s="37" customFormat="1" ht="18" x14ac:dyDescent="0.55000000000000004">
      <c r="A11" s="199" t="s">
        <v>65</v>
      </c>
      <c r="B11" s="368">
        <v>50</v>
      </c>
      <c r="C11" s="369">
        <v>55</v>
      </c>
      <c r="D11" s="37">
        <f>B11+C11</f>
        <v>105</v>
      </c>
      <c r="E11" s="43">
        <f t="shared" si="0"/>
        <v>195.60115027140731</v>
      </c>
      <c r="F11" s="43">
        <f t="shared" si="0"/>
        <v>220.40332518778592</v>
      </c>
      <c r="G11" s="43">
        <f t="shared" si="0"/>
        <v>488.66583676653994</v>
      </c>
      <c r="H11" s="77">
        <f>1/D11</f>
        <v>9.5238095238095247E-3</v>
      </c>
      <c r="J11" s="55" t="s">
        <v>137</v>
      </c>
      <c r="K11" s="124">
        <v>47</v>
      </c>
      <c r="L11" s="124">
        <v>10</v>
      </c>
      <c r="M11" s="124">
        <v>5</v>
      </c>
      <c r="N11" s="124">
        <v>38</v>
      </c>
      <c r="O11" s="31"/>
      <c r="P11" s="370"/>
      <c r="Q11" s="370"/>
      <c r="R11" s="370"/>
      <c r="S11" s="370"/>
    </row>
    <row r="12" spans="1:22" s="37" customFormat="1" ht="18.399999999999999" thickBot="1" x14ac:dyDescent="0.6">
      <c r="A12" s="200" t="s">
        <v>63</v>
      </c>
      <c r="B12" s="368">
        <v>420</v>
      </c>
      <c r="C12" s="369">
        <v>420</v>
      </c>
      <c r="D12" s="80">
        <f>B12+C12</f>
        <v>840</v>
      </c>
      <c r="E12" s="120">
        <f t="shared" si="0"/>
        <v>2536.9069787365138</v>
      </c>
      <c r="F12" s="120">
        <f t="shared" si="0"/>
        <v>2536.9069787365138</v>
      </c>
      <c r="G12" s="120">
        <f t="shared" si="0"/>
        <v>5656.0575891433818</v>
      </c>
      <c r="H12" s="371">
        <f>1/D12</f>
        <v>1.1904761904761906E-3</v>
      </c>
      <c r="J12" s="55" t="s">
        <v>120</v>
      </c>
      <c r="K12" s="124">
        <v>50</v>
      </c>
      <c r="L12" s="124">
        <v>8</v>
      </c>
      <c r="M12" s="124">
        <v>4</v>
      </c>
      <c r="N12" s="124">
        <v>39</v>
      </c>
      <c r="P12" s="370"/>
      <c r="Q12" s="414"/>
      <c r="R12" s="414"/>
      <c r="S12" s="370"/>
    </row>
    <row r="13" spans="1:22" s="37" customFormat="1" ht="18" x14ac:dyDescent="0.55000000000000004">
      <c r="A13" s="68" t="s">
        <v>5</v>
      </c>
      <c r="B13" s="31">
        <f t="shared" ref="B13:H13" si="1">SUM(B9:B12)</f>
        <v>1000</v>
      </c>
      <c r="C13" s="31">
        <f t="shared" si="1"/>
        <v>1005</v>
      </c>
      <c r="D13" s="31">
        <f t="shared" si="1"/>
        <v>2005</v>
      </c>
      <c r="E13" s="332">
        <f t="shared" si="1"/>
        <v>5732.5320515314925</v>
      </c>
      <c r="F13" s="332">
        <f t="shared" si="1"/>
        <v>5757.3342264478715</v>
      </c>
      <c r="G13" s="332">
        <f t="shared" si="1"/>
        <v>12879.507282350609</v>
      </c>
      <c r="H13" s="32">
        <f t="shared" si="1"/>
        <v>1.5190637065637065E-2</v>
      </c>
      <c r="J13" s="55" t="s">
        <v>89</v>
      </c>
      <c r="K13" s="124">
        <v>44</v>
      </c>
      <c r="L13" s="124">
        <v>18</v>
      </c>
      <c r="M13" s="124">
        <v>9</v>
      </c>
      <c r="N13" s="124">
        <v>30</v>
      </c>
      <c r="O13" s="31"/>
      <c r="P13" s="370"/>
      <c r="Q13" s="370"/>
      <c r="R13" s="370"/>
      <c r="S13" s="370"/>
    </row>
    <row r="14" spans="1:22" ht="18" x14ac:dyDescent="0.55000000000000004">
      <c r="F14" s="68"/>
      <c r="J14" s="55" t="s">
        <v>133</v>
      </c>
      <c r="K14" s="124">
        <v>37</v>
      </c>
      <c r="L14" s="124">
        <v>16</v>
      </c>
      <c r="M14" s="124">
        <v>5</v>
      </c>
      <c r="N14" s="124">
        <v>42</v>
      </c>
      <c r="O14" s="31"/>
      <c r="P14" s="414"/>
      <c r="Q14" s="414"/>
      <c r="R14" s="414"/>
      <c r="S14" s="414"/>
    </row>
    <row r="15" spans="1:22" ht="18" x14ac:dyDescent="0.55000000000000004">
      <c r="A15" s="31">
        <v>1</v>
      </c>
      <c r="B15" s="202">
        <f xml:space="preserve"> SUM(E9:F12)</f>
        <v>11489.866277979365</v>
      </c>
      <c r="C15" s="41" t="s">
        <v>196</v>
      </c>
      <c r="D15" s="37"/>
      <c r="E15" s="37"/>
      <c r="F15" s="37"/>
      <c r="G15" s="37"/>
      <c r="H15" s="37"/>
      <c r="J15" s="372" t="s">
        <v>137</v>
      </c>
      <c r="K15" s="204">
        <v>470</v>
      </c>
      <c r="L15" s="204">
        <v>100</v>
      </c>
      <c r="M15" s="204">
        <v>47</v>
      </c>
      <c r="N15" s="204">
        <v>380</v>
      </c>
      <c r="P15" s="370"/>
      <c r="Q15" s="370"/>
      <c r="R15" s="370"/>
      <c r="S15" s="370"/>
    </row>
    <row r="16" spans="1:22" ht="18" x14ac:dyDescent="0.55000000000000004">
      <c r="A16" s="31">
        <v>2</v>
      </c>
      <c r="B16" s="202">
        <f>SUM(G9:G12)</f>
        <v>12879.507282350609</v>
      </c>
      <c r="C16" s="41" t="s">
        <v>197</v>
      </c>
      <c r="D16" s="37"/>
      <c r="E16" s="37"/>
      <c r="F16" s="37"/>
      <c r="G16" s="37"/>
      <c r="H16" s="37"/>
      <c r="J16" s="372" t="s">
        <v>120</v>
      </c>
      <c r="K16" s="204">
        <v>500</v>
      </c>
      <c r="L16" s="204">
        <v>80</v>
      </c>
      <c r="M16" s="204">
        <v>39</v>
      </c>
      <c r="N16" s="204">
        <v>450</v>
      </c>
      <c r="P16" s="370"/>
      <c r="Q16" s="370"/>
      <c r="R16" s="370"/>
      <c r="S16" s="370"/>
    </row>
    <row r="17" spans="1:27" ht="18" x14ac:dyDescent="0.55000000000000004">
      <c r="A17" s="31">
        <v>3</v>
      </c>
      <c r="B17" s="202">
        <f>(B13*LN(B13)+C13*LN(C13))</f>
        <v>13855.061813577779</v>
      </c>
      <c r="C17" s="41" t="s">
        <v>198</v>
      </c>
      <c r="D17" s="37"/>
      <c r="E17" s="37"/>
      <c r="F17" s="37"/>
      <c r="G17" s="37"/>
      <c r="H17" s="37"/>
      <c r="J17" s="372" t="s">
        <v>89</v>
      </c>
      <c r="K17" s="373">
        <v>440</v>
      </c>
      <c r="L17" s="373">
        <v>180</v>
      </c>
      <c r="M17" s="373">
        <v>91</v>
      </c>
      <c r="N17" s="373">
        <v>300</v>
      </c>
      <c r="O17" s="31"/>
      <c r="P17" s="370"/>
      <c r="Q17" s="370"/>
      <c r="R17" s="370"/>
      <c r="S17" s="370"/>
    </row>
    <row r="18" spans="1:27" ht="18" x14ac:dyDescent="0.55000000000000004">
      <c r="A18" s="31">
        <v>4</v>
      </c>
      <c r="B18" s="202">
        <f>D13*LN(D13)</f>
        <v>15244.815676180044</v>
      </c>
      <c r="C18" s="41" t="s">
        <v>197</v>
      </c>
      <c r="D18" s="37"/>
      <c r="E18" s="37"/>
      <c r="F18" s="37"/>
      <c r="G18" s="37"/>
      <c r="H18" s="37"/>
      <c r="J18" s="372" t="s">
        <v>133</v>
      </c>
      <c r="K18" s="204">
        <v>370</v>
      </c>
      <c r="L18" s="204">
        <v>160</v>
      </c>
      <c r="M18" s="204">
        <v>55</v>
      </c>
      <c r="N18" s="204">
        <v>420</v>
      </c>
      <c r="O18" s="31"/>
      <c r="P18" s="370"/>
      <c r="Q18" s="370"/>
      <c r="R18" s="370"/>
      <c r="S18" s="370"/>
    </row>
    <row r="19" spans="1:27" ht="18" x14ac:dyDescent="0.55000000000000004">
      <c r="A19" s="31">
        <v>5</v>
      </c>
      <c r="B19" s="46">
        <f>2*(B15 - B16 - B17 + B18)</f>
        <v>0.2257164620423282</v>
      </c>
      <c r="C19" s="203" t="s">
        <v>199</v>
      </c>
      <c r="D19" s="41" t="s">
        <v>31</v>
      </c>
      <c r="E19" s="37"/>
      <c r="F19" s="37"/>
      <c r="G19" s="37"/>
      <c r="H19" s="37"/>
      <c r="J19" s="204"/>
      <c r="K19" s="31"/>
      <c r="L19" s="31"/>
      <c r="M19" s="31"/>
      <c r="N19" s="31"/>
      <c r="P19" s="56"/>
      <c r="Q19" s="56"/>
      <c r="R19" s="56"/>
    </row>
    <row r="20" spans="1:27" ht="18.399999999999999" thickBot="1" x14ac:dyDescent="0.6">
      <c r="C20" s="205"/>
      <c r="D20" s="206" t="s">
        <v>200</v>
      </c>
      <c r="E20" s="39"/>
      <c r="F20" s="37"/>
      <c r="G20" s="37"/>
      <c r="Q20" s="56"/>
      <c r="R20" s="56"/>
    </row>
    <row r="21" spans="1:27" ht="18.399999999999999" hidden="1" thickBot="1" x14ac:dyDescent="0.6">
      <c r="A21" s="205"/>
      <c r="B21" s="206"/>
      <c r="C21" s="39"/>
      <c r="D21" s="37"/>
      <c r="E21" s="37"/>
      <c r="O21" s="56"/>
      <c r="P21" s="56"/>
    </row>
    <row r="22" spans="1:27" ht="18.399999999999999" hidden="1" thickBot="1" x14ac:dyDescent="0.6">
      <c r="A22" s="29"/>
      <c r="C22" s="31"/>
      <c r="D22" s="374" t="s">
        <v>201</v>
      </c>
      <c r="E22" s="374" t="s">
        <v>202</v>
      </c>
      <c r="F22" s="374" t="s">
        <v>203</v>
      </c>
      <c r="N22" s="31"/>
      <c r="O22" s="56"/>
    </row>
    <row r="23" spans="1:27" ht="18.399999999999999" hidden="1" thickBot="1" x14ac:dyDescent="0.6">
      <c r="A23" s="29"/>
      <c r="C23" s="375" t="s">
        <v>204</v>
      </c>
      <c r="D23" s="209">
        <v>6.2510000000000003</v>
      </c>
      <c r="E23" s="210">
        <v>11.345000000000001</v>
      </c>
      <c r="F23" s="211">
        <v>16.265999999999998</v>
      </c>
      <c r="K23" s="342"/>
      <c r="L23" s="56"/>
      <c r="M23" s="56"/>
      <c r="N23" s="56"/>
      <c r="O23" s="31"/>
    </row>
    <row r="24" spans="1:27" ht="18.399999999999999" hidden="1" thickBot="1" x14ac:dyDescent="0.6">
      <c r="N24" s="31"/>
    </row>
    <row r="25" spans="1:27" ht="20" customHeight="1" thickBot="1" x14ac:dyDescent="0.7">
      <c r="B25" s="54"/>
      <c r="C25" s="415" t="s">
        <v>51</v>
      </c>
      <c r="D25" s="416"/>
      <c r="E25" s="416"/>
      <c r="F25" s="416"/>
      <c r="G25" s="417" t="s">
        <v>52</v>
      </c>
      <c r="H25" s="417"/>
      <c r="I25" s="417"/>
      <c r="J25" s="418" t="s">
        <v>205</v>
      </c>
      <c r="K25" s="418"/>
      <c r="L25" s="418"/>
      <c r="M25" s="418"/>
      <c r="P25" s="212"/>
      <c r="Q25" s="212"/>
      <c r="S25" s="419"/>
      <c r="T25" s="419"/>
      <c r="U25" s="419"/>
      <c r="V25" s="420"/>
      <c r="W25" s="376"/>
      <c r="X25" s="55"/>
      <c r="Y25" s="55"/>
      <c r="Z25" s="55"/>
      <c r="AA25" s="55"/>
    </row>
    <row r="26" spans="1:27" ht="21" x14ac:dyDescent="0.65">
      <c r="A26" s="56" t="s">
        <v>55</v>
      </c>
      <c r="B26" s="57" t="s">
        <v>56</v>
      </c>
      <c r="C26" s="58" t="s">
        <v>57</v>
      </c>
      <c r="D26" s="58" t="s">
        <v>58</v>
      </c>
      <c r="E26" s="58" t="s">
        <v>59</v>
      </c>
      <c r="F26" s="58" t="s">
        <v>60</v>
      </c>
      <c r="G26" s="59" t="s">
        <v>61</v>
      </c>
      <c r="H26" s="60" t="s">
        <v>62</v>
      </c>
      <c r="I26" s="60" t="s">
        <v>63</v>
      </c>
      <c r="J26" s="213" t="s">
        <v>61</v>
      </c>
      <c r="K26" s="214" t="s">
        <v>62</v>
      </c>
      <c r="L26" s="215" t="s">
        <v>65</v>
      </c>
      <c r="M26" s="215" t="s">
        <v>63</v>
      </c>
      <c r="P26" s="216"/>
      <c r="Q26" s="216"/>
      <c r="R26" s="217"/>
      <c r="S26" s="377"/>
      <c r="T26" s="377"/>
      <c r="U26" s="377"/>
      <c r="V26" s="377"/>
      <c r="W26" s="201"/>
      <c r="X26" s="65"/>
      <c r="Y26" s="65"/>
      <c r="Z26" s="65"/>
    </row>
    <row r="27" spans="1:27" ht="18" x14ac:dyDescent="0.55000000000000004">
      <c r="A27" s="126"/>
      <c r="B27" s="378" t="s">
        <v>94</v>
      </c>
      <c r="C27" s="73">
        <v>0.44</v>
      </c>
      <c r="D27" s="73">
        <v>0.13</v>
      </c>
      <c r="E27" s="73">
        <v>0.05</v>
      </c>
      <c r="F27" s="73">
        <v>0.38</v>
      </c>
      <c r="G27" s="370">
        <f xml:space="preserve"> SQRT(F27 + C27) - I27</f>
        <v>0.28909711351684408</v>
      </c>
      <c r="H27" s="370">
        <f xml:space="preserve"> SQRT(F27 + D27) - I27</f>
        <v>9.770144255738733E-2</v>
      </c>
      <c r="I27" s="370">
        <f>SQRT(F27)</f>
        <v>0.61644140029689765</v>
      </c>
      <c r="J27" s="379">
        <f>G27^2 + (2*G27*I27)</f>
        <v>0.44000000000000017</v>
      </c>
      <c r="K27" s="379">
        <f xml:space="preserve"> H27^2 + (2*H27 * I27)</f>
        <v>0.12999999999999998</v>
      </c>
      <c r="L27" s="379">
        <f>2 * G27 * H27</f>
        <v>5.6490410059544853E-2</v>
      </c>
      <c r="M27" s="379">
        <f>I27^2</f>
        <v>0.38</v>
      </c>
      <c r="O27" s="212"/>
      <c r="P27" s="39"/>
      <c r="Q27" s="39"/>
      <c r="R27" s="53"/>
      <c r="S27" s="43"/>
      <c r="T27" s="43"/>
      <c r="U27" s="43"/>
      <c r="V27" s="43"/>
      <c r="W27" s="43"/>
    </row>
    <row r="28" spans="1:27" ht="20" customHeight="1" x14ac:dyDescent="0.65">
      <c r="A28" s="126"/>
      <c r="B28" s="378" t="s">
        <v>95</v>
      </c>
      <c r="C28" s="73">
        <v>0.36</v>
      </c>
      <c r="D28" s="73">
        <v>0.23</v>
      </c>
      <c r="E28" s="73">
        <v>0.08</v>
      </c>
      <c r="F28" s="73">
        <v>0.34</v>
      </c>
      <c r="G28" s="370">
        <f xml:space="preserve"> SQRT(F28 + C28) - I28</f>
        <v>0.25356483704954547</v>
      </c>
      <c r="H28" s="370">
        <f xml:space="preserve"> SQRT(F28 + D28) - I28</f>
        <v>0.17188825404254493</v>
      </c>
      <c r="I28" s="370">
        <f>SQRT(F28)</f>
        <v>0.5830951894845301</v>
      </c>
      <c r="J28" s="379">
        <f>G28^2 + 2*G28*I28</f>
        <v>0.36</v>
      </c>
      <c r="K28" s="379">
        <f xml:space="preserve"> H28^2 + (2*H28 * I28)</f>
        <v>0.23000000000000004</v>
      </c>
      <c r="L28" s="379">
        <f>2 * G28 * H28</f>
        <v>8.7169634254057562E-2</v>
      </c>
      <c r="M28" s="379">
        <f>I28^2</f>
        <v>0.34000000000000008</v>
      </c>
      <c r="N28" s="380"/>
      <c r="O28" s="216"/>
      <c r="P28" s="39"/>
      <c r="Q28" s="39"/>
      <c r="R28" s="53"/>
      <c r="S28" s="43"/>
      <c r="T28" s="43"/>
      <c r="U28" s="43"/>
      <c r="V28" s="43"/>
      <c r="W28" s="43"/>
    </row>
    <row r="29" spans="1:27" ht="21" x14ac:dyDescent="0.65">
      <c r="A29" s="123"/>
      <c r="B29" s="381"/>
      <c r="G29" s="39"/>
      <c r="H29" s="39"/>
      <c r="I29" s="39"/>
      <c r="J29" s="218"/>
      <c r="K29" s="218"/>
      <c r="L29" s="218"/>
      <c r="M29" s="218"/>
      <c r="N29" s="382"/>
    </row>
    <row r="30" spans="1:27" ht="18" x14ac:dyDescent="0.55000000000000004">
      <c r="A30" s="126"/>
      <c r="B30" s="383" t="s">
        <v>143</v>
      </c>
      <c r="C30" s="124">
        <v>27</v>
      </c>
      <c r="D30" s="124">
        <v>20</v>
      </c>
      <c r="E30" s="124">
        <v>4</v>
      </c>
      <c r="F30" s="124">
        <v>49</v>
      </c>
      <c r="G30" s="39"/>
      <c r="H30" s="39"/>
      <c r="I30" s="39"/>
      <c r="J30" s="218"/>
      <c r="K30" s="218"/>
      <c r="L30" s="218"/>
      <c r="M30" s="218"/>
      <c r="O30" s="39"/>
    </row>
    <row r="31" spans="1:27" ht="18" x14ac:dyDescent="0.55000000000000004">
      <c r="A31" s="126"/>
      <c r="B31" s="383" t="s">
        <v>144</v>
      </c>
      <c r="C31" s="124">
        <v>40</v>
      </c>
      <c r="D31" s="124">
        <v>11</v>
      </c>
      <c r="E31" s="124">
        <v>4</v>
      </c>
      <c r="F31" s="124">
        <v>45</v>
      </c>
      <c r="G31" s="39"/>
      <c r="H31" s="39"/>
      <c r="I31" s="39"/>
      <c r="J31" s="218"/>
      <c r="K31" s="218"/>
      <c r="L31" s="218"/>
      <c r="M31" s="218"/>
      <c r="N31" s="39"/>
      <c r="O31" s="39"/>
    </row>
    <row r="32" spans="1:27" ht="18" x14ac:dyDescent="0.55000000000000004">
      <c r="A32" s="126"/>
      <c r="B32" s="201" t="s">
        <v>137</v>
      </c>
      <c r="C32" s="124">
        <v>47</v>
      </c>
      <c r="D32" s="124">
        <v>10</v>
      </c>
      <c r="E32" s="124">
        <v>5</v>
      </c>
      <c r="F32" s="124">
        <v>38</v>
      </c>
      <c r="G32" s="39"/>
      <c r="H32" s="39"/>
      <c r="I32" s="39"/>
      <c r="J32" s="218"/>
      <c r="K32" s="218"/>
      <c r="L32" s="218"/>
      <c r="M32" s="218"/>
      <c r="N32" s="39"/>
      <c r="O32" s="39"/>
    </row>
    <row r="33" spans="1:14" ht="18" x14ac:dyDescent="0.55000000000000004">
      <c r="A33" s="126"/>
      <c r="B33" s="201" t="s">
        <v>120</v>
      </c>
      <c r="C33" s="124">
        <v>50</v>
      </c>
      <c r="D33" s="124">
        <v>8</v>
      </c>
      <c r="E33" s="124">
        <v>4</v>
      </c>
      <c r="F33" s="124">
        <v>39</v>
      </c>
      <c r="G33" s="39"/>
      <c r="H33" s="39"/>
      <c r="I33" s="39"/>
      <c r="J33" s="218"/>
      <c r="K33" s="218"/>
      <c r="L33" s="218"/>
      <c r="M33" s="218"/>
      <c r="N33" s="39"/>
    </row>
    <row r="34" spans="1:14" ht="18" x14ac:dyDescent="0.55000000000000004">
      <c r="A34" s="126"/>
      <c r="B34" s="201" t="s">
        <v>89</v>
      </c>
      <c r="C34" s="124">
        <v>44</v>
      </c>
      <c r="D34" s="124">
        <v>18</v>
      </c>
      <c r="E34" s="124">
        <v>9</v>
      </c>
      <c r="F34" s="124">
        <v>30</v>
      </c>
      <c r="G34" s="39"/>
      <c r="H34" s="39"/>
      <c r="I34" s="39"/>
      <c r="J34" s="218"/>
      <c r="K34" s="218"/>
      <c r="L34" s="218"/>
      <c r="M34" s="218"/>
    </row>
    <row r="35" spans="1:14" ht="18" x14ac:dyDescent="0.55000000000000004">
      <c r="A35" s="123"/>
      <c r="B35" s="201" t="s">
        <v>133</v>
      </c>
      <c r="C35" s="124">
        <v>37</v>
      </c>
      <c r="D35" s="124">
        <v>16</v>
      </c>
      <c r="E35" s="124">
        <v>5</v>
      </c>
      <c r="F35" s="124">
        <v>42</v>
      </c>
      <c r="G35" s="39"/>
      <c r="H35" s="39"/>
      <c r="I35" s="39"/>
      <c r="J35" s="218"/>
      <c r="K35" s="218"/>
      <c r="L35" s="218"/>
      <c r="M35" s="218"/>
    </row>
    <row r="36" spans="1:14" ht="18" x14ac:dyDescent="0.55000000000000004">
      <c r="A36" s="126"/>
      <c r="B36" s="383" t="s">
        <v>137</v>
      </c>
      <c r="C36" s="204">
        <v>470</v>
      </c>
      <c r="D36" s="204">
        <v>100</v>
      </c>
      <c r="E36" s="204">
        <v>47</v>
      </c>
      <c r="F36" s="204">
        <v>380</v>
      </c>
      <c r="G36" s="39"/>
      <c r="H36" s="39"/>
      <c r="I36" s="39"/>
      <c r="J36" s="218"/>
      <c r="K36" s="218"/>
      <c r="L36" s="218"/>
      <c r="M36" s="218"/>
    </row>
    <row r="37" spans="1:14" ht="18" x14ac:dyDescent="0.55000000000000004">
      <c r="A37" s="126"/>
      <c r="B37" s="383" t="s">
        <v>120</v>
      </c>
      <c r="C37" s="204">
        <v>500</v>
      </c>
      <c r="D37" s="204">
        <v>80</v>
      </c>
      <c r="E37" s="204">
        <v>39</v>
      </c>
      <c r="F37" s="204">
        <v>450</v>
      </c>
      <c r="G37" s="39"/>
      <c r="H37" s="39"/>
      <c r="I37" s="39"/>
      <c r="J37" s="218"/>
      <c r="K37" s="218"/>
      <c r="L37" s="218"/>
      <c r="M37" s="218"/>
    </row>
    <row r="38" spans="1:14" ht="18" x14ac:dyDescent="0.55000000000000004">
      <c r="A38" s="123"/>
      <c r="B38" s="383" t="s">
        <v>89</v>
      </c>
      <c r="C38" s="373">
        <v>440</v>
      </c>
      <c r="D38" s="373">
        <v>180</v>
      </c>
      <c r="E38" s="373">
        <v>91</v>
      </c>
      <c r="F38" s="373">
        <v>300</v>
      </c>
    </row>
    <row r="39" spans="1:14" ht="18" x14ac:dyDescent="0.55000000000000004">
      <c r="A39" s="123"/>
      <c r="B39" s="383" t="s">
        <v>133</v>
      </c>
      <c r="C39" s="204">
        <v>370</v>
      </c>
      <c r="D39" s="204">
        <v>160</v>
      </c>
      <c r="E39" s="204">
        <v>55</v>
      </c>
      <c r="F39" s="204">
        <v>420</v>
      </c>
    </row>
  </sheetData>
  <mergeCells count="12">
    <mergeCell ref="P10:Q10"/>
    <mergeCell ref="A1:I1"/>
    <mergeCell ref="A2:I2"/>
    <mergeCell ref="B5:D5"/>
    <mergeCell ref="E5:H5"/>
    <mergeCell ref="I5:L5"/>
    <mergeCell ref="Q12:R12"/>
    <mergeCell ref="P14:S14"/>
    <mergeCell ref="C25:F25"/>
    <mergeCell ref="G25:I25"/>
    <mergeCell ref="J25:M25"/>
    <mergeCell ref="S25:V25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BBB2-3D96-4B21-A218-F638FB4E800D}">
  <sheetPr>
    <tabColor rgb="FFFF0000"/>
  </sheetPr>
  <dimension ref="A1:W98"/>
  <sheetViews>
    <sheetView workbookViewId="0">
      <pane ySplit="5" topLeftCell="A6" activePane="bottomLeft" state="frozen"/>
      <selection pane="bottomLeft" activeCell="B1" sqref="B1"/>
    </sheetView>
  </sheetViews>
  <sheetFormatPr defaultRowHeight="14.25" x14ac:dyDescent="0.45"/>
  <cols>
    <col min="2" max="2" width="31.53125" customWidth="1"/>
    <col min="3" max="6" width="6.59765625" style="47" customWidth="1"/>
    <col min="7" max="9" width="6.59765625" customWidth="1"/>
    <col min="10" max="10" width="6.59765625" style="335" customWidth="1"/>
    <col min="11" max="17" width="6.59765625" customWidth="1"/>
    <col min="18" max="18" width="6.59765625" style="335" customWidth="1"/>
  </cols>
  <sheetData>
    <row r="1" spans="1:23" x14ac:dyDescent="0.45">
      <c r="B1" s="219" t="s">
        <v>286</v>
      </c>
      <c r="C1" s="219"/>
      <c r="D1" s="219"/>
      <c r="E1" s="219"/>
      <c r="F1" s="219"/>
      <c r="G1" s="219"/>
      <c r="H1" s="219"/>
      <c r="I1" s="219"/>
      <c r="J1" s="333"/>
      <c r="K1" s="220"/>
      <c r="L1" s="196"/>
      <c r="M1" s="196"/>
    </row>
    <row r="2" spans="1:23" s="3" customFormat="1" ht="21.4" thickBot="1" x14ac:dyDescent="0.7">
      <c r="B2" s="331" t="s">
        <v>248</v>
      </c>
      <c r="C2" s="331"/>
      <c r="D2" s="331"/>
      <c r="E2" s="331"/>
      <c r="F2" s="331"/>
      <c r="G2" s="331"/>
      <c r="H2" s="331"/>
      <c r="I2" s="331"/>
      <c r="J2" s="334"/>
      <c r="K2" s="331"/>
      <c r="L2" s="331"/>
      <c r="M2" s="331"/>
      <c r="N2" s="331"/>
      <c r="O2" s="331"/>
      <c r="P2" s="331"/>
      <c r="Q2" s="40"/>
      <c r="R2" s="339"/>
    </row>
    <row r="3" spans="1:23" ht="18.399999999999999" thickBot="1" x14ac:dyDescent="0.6">
      <c r="K3" s="427" t="s">
        <v>223</v>
      </c>
      <c r="L3" s="428"/>
      <c r="M3" s="428"/>
      <c r="N3" s="428"/>
      <c r="O3" s="428"/>
      <c r="P3" s="428"/>
      <c r="Q3" s="429"/>
    </row>
    <row r="4" spans="1:23" ht="21" x14ac:dyDescent="0.65">
      <c r="B4" s="54"/>
      <c r="C4" s="415" t="s">
        <v>51</v>
      </c>
      <c r="D4" s="416"/>
      <c r="E4" s="416"/>
      <c r="F4" s="416"/>
      <c r="G4" s="417" t="s">
        <v>220</v>
      </c>
      <c r="H4" s="417"/>
      <c r="I4" s="417"/>
      <c r="J4" s="338" t="s">
        <v>53</v>
      </c>
      <c r="K4" s="431" t="s">
        <v>221</v>
      </c>
      <c r="L4" s="431"/>
      <c r="M4" s="431"/>
      <c r="N4" s="432" t="s">
        <v>54</v>
      </c>
      <c r="O4" s="433"/>
      <c r="P4" s="433"/>
      <c r="Q4" s="433"/>
      <c r="R4" s="340"/>
    </row>
    <row r="5" spans="1:23" ht="21" customHeight="1" x14ac:dyDescent="0.65">
      <c r="A5" s="56" t="s">
        <v>55</v>
      </c>
      <c r="B5" s="57" t="s">
        <v>56</v>
      </c>
      <c r="C5" s="235" t="s">
        <v>57</v>
      </c>
      <c r="D5" s="235" t="s">
        <v>58</v>
      </c>
      <c r="E5" s="235" t="s">
        <v>59</v>
      </c>
      <c r="F5" s="235" t="s">
        <v>60</v>
      </c>
      <c r="G5" s="59" t="s">
        <v>61</v>
      </c>
      <c r="H5" s="60" t="s">
        <v>62</v>
      </c>
      <c r="I5" s="60" t="s">
        <v>63</v>
      </c>
      <c r="J5" s="336" t="s">
        <v>64</v>
      </c>
      <c r="K5" s="61" t="s">
        <v>61</v>
      </c>
      <c r="L5" s="62" t="s">
        <v>62</v>
      </c>
      <c r="M5" s="62" t="s">
        <v>63</v>
      </c>
      <c r="N5" s="63" t="s">
        <v>61</v>
      </c>
      <c r="O5" s="64" t="s">
        <v>62</v>
      </c>
      <c r="P5" s="64" t="s">
        <v>65</v>
      </c>
      <c r="Q5" s="64" t="s">
        <v>63</v>
      </c>
      <c r="R5" s="341" t="s">
        <v>25</v>
      </c>
      <c r="T5" s="430" t="s">
        <v>256</v>
      </c>
      <c r="U5" s="430"/>
      <c r="V5" s="430"/>
      <c r="W5" s="430"/>
    </row>
    <row r="6" spans="1:23" ht="21" x14ac:dyDescent="0.65">
      <c r="A6" s="52">
        <v>1</v>
      </c>
      <c r="B6" s="9" t="s">
        <v>251</v>
      </c>
      <c r="C6" s="43">
        <v>0.39</v>
      </c>
      <c r="D6" s="43">
        <v>0</v>
      </c>
      <c r="E6" s="43">
        <v>0</v>
      </c>
      <c r="F6" s="43">
        <v>0.61</v>
      </c>
      <c r="G6" s="39">
        <f xml:space="preserve"> SQRT(F6 + C6) - I6</f>
        <v>0.21897503240933458</v>
      </c>
      <c r="H6" s="39">
        <f xml:space="preserve"> SQRT(F6 + D6) - I6</f>
        <v>0</v>
      </c>
      <c r="I6" s="39">
        <f>SQRT(F6)</f>
        <v>0.78102496759066542</v>
      </c>
      <c r="J6" s="337">
        <f xml:space="preserve"> 1 - SUM(G6:I6)</f>
        <v>0</v>
      </c>
      <c r="K6" s="39">
        <f>G6*(1 + J6/2)</f>
        <v>0.21897503240933458</v>
      </c>
      <c r="L6" s="39">
        <f>H6*(1 + J6/2)</f>
        <v>0</v>
      </c>
      <c r="M6" s="39">
        <f>(I6 +J6/2) * (1 + J6/2)</f>
        <v>0.78102496759066542</v>
      </c>
      <c r="N6" s="39">
        <f>K6^2 + 2*K6*M6</f>
        <v>0.39000000000000007</v>
      </c>
      <c r="O6" s="39">
        <f>L6^2 + 2*L6*M6</f>
        <v>0</v>
      </c>
      <c r="P6" s="39">
        <f>2*K6*L6</f>
        <v>0</v>
      </c>
      <c r="Q6" s="39">
        <f>M6^2</f>
        <v>0.61</v>
      </c>
      <c r="R6" s="337">
        <f>SUM(N6:Q6)</f>
        <v>1</v>
      </c>
      <c r="T6">
        <v>390</v>
      </c>
      <c r="U6">
        <v>0</v>
      </c>
      <c r="V6">
        <v>0</v>
      </c>
      <c r="W6">
        <v>610</v>
      </c>
    </row>
    <row r="7" spans="1:23" ht="21" x14ac:dyDescent="0.65">
      <c r="A7" s="52">
        <v>2</v>
      </c>
      <c r="B7" s="9" t="s">
        <v>70</v>
      </c>
      <c r="C7" s="43">
        <v>0.27</v>
      </c>
      <c r="D7" s="43">
        <v>0.25</v>
      </c>
      <c r="E7" s="43">
        <v>0.05</v>
      </c>
      <c r="F7" s="43">
        <v>0.43</v>
      </c>
      <c r="G7" s="39">
        <f xml:space="preserve"> SQRT(F7 + C7) - I7</f>
        <v>0.1809161741038755</v>
      </c>
      <c r="H7" s="39">
        <f xml:space="preserve"> SQRT(F7 + D7) - I7</f>
        <v>0.16887727269333197</v>
      </c>
      <c r="I7" s="39">
        <f>SQRT(F7)</f>
        <v>0.65574385243020006</v>
      </c>
      <c r="J7" s="337">
        <f xml:space="preserve"> 1 - SUM(G7:I7)</f>
        <v>-5.5372992274076438E-3</v>
      </c>
      <c r="K7" s="39">
        <f>G7*(1 + J7/2)</f>
        <v>0.18041528060833004</v>
      </c>
      <c r="L7" s="39">
        <f>H7*(1 + J7/2)</f>
        <v>0.16840971069752622</v>
      </c>
      <c r="M7" s="39">
        <f>(I7 +J7/2) * (1 + J7/2)</f>
        <v>0.65116734327346015</v>
      </c>
      <c r="N7" s="39">
        <f>K7^2 + 2*K7*M7</f>
        <v>0.26751075139630665</v>
      </c>
      <c r="O7" s="39">
        <f>L7^2 + 2*L7*M7</f>
        <v>0.24768763844994482</v>
      </c>
      <c r="P7" s="39">
        <f>2*K7*L7</f>
        <v>6.076737042532375E-2</v>
      </c>
      <c r="Q7" s="39">
        <f>M7^2</f>
        <v>0.42401890894581629</v>
      </c>
      <c r="R7" s="337">
        <f>SUM(N7:Q7)</f>
        <v>0.99998466921739149</v>
      </c>
      <c r="T7">
        <v>270</v>
      </c>
      <c r="U7">
        <v>250</v>
      </c>
      <c r="V7">
        <v>50</v>
      </c>
      <c r="W7">
        <v>430</v>
      </c>
    </row>
    <row r="8" spans="1:23" ht="21" x14ac:dyDescent="0.55000000000000004">
      <c r="A8" s="52">
        <v>3</v>
      </c>
      <c r="B8" s="72" t="s">
        <v>71</v>
      </c>
      <c r="C8" s="43">
        <v>0.32</v>
      </c>
      <c r="D8" s="43">
        <v>0.32</v>
      </c>
      <c r="E8" s="43">
        <v>0.18</v>
      </c>
      <c r="F8" s="43">
        <v>0.17</v>
      </c>
      <c r="G8" s="39">
        <f xml:space="preserve"> SQRT(F8 + C8) - I8</f>
        <v>0.28768943743823389</v>
      </c>
      <c r="H8" s="39">
        <f xml:space="preserve"> SQRT(F8 + D8) - I8</f>
        <v>0.28768943743823389</v>
      </c>
      <c r="I8" s="39">
        <f>SQRT(F8)</f>
        <v>0.41231056256176607</v>
      </c>
      <c r="J8" s="337">
        <f xml:space="preserve"> 1 - SUM(G8:I8)</f>
        <v>1.2310562561766103E-2</v>
      </c>
      <c r="K8" s="39">
        <f>G8*(1 + J8/2)</f>
        <v>0.28946024684720523</v>
      </c>
      <c r="L8" s="39">
        <f>H8*(1 + J8/2)</f>
        <v>0.28946024684720523</v>
      </c>
      <c r="M8" s="39">
        <f>(I8 +J8/2) * (1 + J8/2)</f>
        <v>0.42104161881794278</v>
      </c>
      <c r="N8" s="39">
        <f>K8^2 + 2*K8*M8</f>
        <v>0.32753685633682217</v>
      </c>
      <c r="O8" s="39">
        <f>L8^2 + 2*L8*M8</f>
        <v>0.32753685633682217</v>
      </c>
      <c r="P8" s="39">
        <f>2*K8*L8</f>
        <v>0.16757446900968997</v>
      </c>
      <c r="Q8" s="39">
        <f>M8^2</f>
        <v>0.17727604477683381</v>
      </c>
      <c r="R8" s="337">
        <f>SUM(N8:Q8)</f>
        <v>0.9999242264601681</v>
      </c>
      <c r="T8">
        <v>325</v>
      </c>
      <c r="U8">
        <v>325</v>
      </c>
      <c r="V8">
        <v>180</v>
      </c>
      <c r="W8">
        <v>170</v>
      </c>
    </row>
    <row r="9" spans="1:23" ht="21" x14ac:dyDescent="0.65">
      <c r="A9" s="52">
        <v>4</v>
      </c>
      <c r="B9" s="9" t="s">
        <v>72</v>
      </c>
      <c r="C9" s="43">
        <v>0.43</v>
      </c>
      <c r="D9" s="43">
        <v>0.13</v>
      </c>
      <c r="E9" s="43">
        <v>0.06</v>
      </c>
      <c r="F9" s="43">
        <v>0.38</v>
      </c>
      <c r="G9" s="39">
        <f t="shared" ref="G9:G72" si="0" xml:space="preserve"> SQRT(F9 + C9) - I9</f>
        <v>0.28355859970310238</v>
      </c>
      <c r="H9" s="39">
        <f t="shared" ref="H9:H72" si="1" xml:space="preserve"> SQRT(F9 + D9) - I9</f>
        <v>9.770144255738733E-2</v>
      </c>
      <c r="I9" s="39">
        <f t="shared" ref="I9:I72" si="2">SQRT(F9)</f>
        <v>0.61644140029689765</v>
      </c>
      <c r="J9" s="337">
        <f t="shared" ref="J9:J72" si="3" xml:space="preserve"> 1 - SUM(G9:I9)</f>
        <v>2.2985574426126476E-3</v>
      </c>
      <c r="K9" s="39">
        <f t="shared" ref="K9:K72" si="4">G9*(1 + J9/2)</f>
        <v>0.28388448756798457</v>
      </c>
      <c r="L9" s="39">
        <f t="shared" ref="L9:L72" si="5">H9*(1 + J9/2)</f>
        <v>9.7813728746359463E-2</v>
      </c>
      <c r="M9" s="39">
        <f t="shared" ref="M9:M72" si="6">(I9 +J9/2) * (1 + J9/2)</f>
        <v>0.61830046284407669</v>
      </c>
      <c r="N9" s="39">
        <f t="shared" ref="N9:N72" si="7">K9^2 + 2*K9*M9</f>
        <v>0.43164222239681399</v>
      </c>
      <c r="O9" s="39">
        <f t="shared" ref="O9:O72" si="8">L9^2 + 2*L9*M9</f>
        <v>0.13052407304402444</v>
      </c>
      <c r="P9" s="39">
        <f t="shared" ref="P9:P72" si="9">2*K9*L9</f>
        <v>5.5535600524548194E-2</v>
      </c>
      <c r="Q9" s="39">
        <f t="shared" ref="Q9:Q72" si="10">M9^2</f>
        <v>0.38229546235319944</v>
      </c>
      <c r="R9" s="337">
        <f t="shared" ref="R9:R72" si="11">SUM(N9:Q9)</f>
        <v>0.99999735831858605</v>
      </c>
      <c r="T9">
        <v>430</v>
      </c>
      <c r="U9">
        <v>130</v>
      </c>
      <c r="V9">
        <v>60</v>
      </c>
      <c r="W9">
        <v>380</v>
      </c>
    </row>
    <row r="10" spans="1:23" ht="21" x14ac:dyDescent="0.65">
      <c r="A10" s="256">
        <v>5</v>
      </c>
      <c r="B10" s="257" t="s">
        <v>73</v>
      </c>
      <c r="C10" s="73">
        <v>0.6</v>
      </c>
      <c r="D10" s="73">
        <v>0.23</v>
      </c>
      <c r="E10" s="73">
        <v>0.09</v>
      </c>
      <c r="F10" s="73">
        <v>0.09</v>
      </c>
      <c r="G10" s="39">
        <f t="shared" si="0"/>
        <v>0.5306623862918074</v>
      </c>
      <c r="H10" s="39">
        <f t="shared" si="1"/>
        <v>0.26568542494923802</v>
      </c>
      <c r="I10" s="39">
        <f t="shared" si="2"/>
        <v>0.3</v>
      </c>
      <c r="J10" s="337">
        <f t="shared" si="3"/>
        <v>-9.6347811241045411E-2</v>
      </c>
      <c r="K10" s="39">
        <f t="shared" si="4"/>
        <v>0.50509830657822452</v>
      </c>
      <c r="L10" s="39">
        <f t="shared" si="5"/>
        <v>0.25288632036298497</v>
      </c>
      <c r="M10" s="39">
        <f t="shared" si="6"/>
        <v>0.23969464787605549</v>
      </c>
      <c r="N10" s="39">
        <f t="shared" si="7"/>
        <v>0.49726302078430895</v>
      </c>
      <c r="O10" s="39">
        <f t="shared" si="8"/>
        <v>0.18518248605088436</v>
      </c>
      <c r="P10" s="39">
        <f t="shared" si="9"/>
        <v>0.25546490434428415</v>
      </c>
      <c r="Q10" s="39">
        <f t="shared" si="10"/>
        <v>5.7453524220426232E-2</v>
      </c>
      <c r="R10" s="337">
        <f t="shared" si="11"/>
        <v>0.99536393539990375</v>
      </c>
      <c r="T10">
        <v>590</v>
      </c>
      <c r="U10">
        <v>230</v>
      </c>
      <c r="V10">
        <v>90</v>
      </c>
      <c r="W10">
        <v>90</v>
      </c>
    </row>
    <row r="11" spans="1:23" ht="21" x14ac:dyDescent="0.65">
      <c r="A11" s="52">
        <v>6</v>
      </c>
      <c r="B11" s="9" t="s">
        <v>74</v>
      </c>
      <c r="C11" s="43">
        <v>0.31</v>
      </c>
      <c r="D11" s="43">
        <v>0.28999999999999998</v>
      </c>
      <c r="E11" s="43">
        <v>0.06</v>
      </c>
      <c r="F11" s="43">
        <v>0.34</v>
      </c>
      <c r="G11" s="39">
        <f t="shared" si="0"/>
        <v>0.22313058534532493</v>
      </c>
      <c r="H11" s="39">
        <f t="shared" si="1"/>
        <v>0.2106302038348471</v>
      </c>
      <c r="I11" s="39">
        <f t="shared" si="2"/>
        <v>0.5830951894845301</v>
      </c>
      <c r="J11" s="337">
        <f t="shared" si="3"/>
        <v>-1.6855978664702231E-2</v>
      </c>
      <c r="K11" s="39">
        <f t="shared" si="4"/>
        <v>0.22125004315231328</v>
      </c>
      <c r="L11" s="39">
        <f t="shared" si="5"/>
        <v>0.20885501472385606</v>
      </c>
      <c r="M11" s="39">
        <f t="shared" si="6"/>
        <v>0.56982391111964437</v>
      </c>
      <c r="N11" s="39">
        <f t="shared" si="7"/>
        <v>0.30109871144378297</v>
      </c>
      <c r="O11" s="39">
        <f t="shared" si="8"/>
        <v>0.28164157986909927</v>
      </c>
      <c r="P11" s="39">
        <f t="shared" si="9"/>
        <v>9.2418362040460361E-2</v>
      </c>
      <c r="Q11" s="39">
        <f t="shared" si="10"/>
        <v>0.32469928968368839</v>
      </c>
      <c r="R11" s="337">
        <f t="shared" si="11"/>
        <v>0.99985794303703113</v>
      </c>
      <c r="T11">
        <v>310</v>
      </c>
      <c r="U11">
        <v>290</v>
      </c>
      <c r="V11">
        <v>60</v>
      </c>
      <c r="W11">
        <v>340</v>
      </c>
    </row>
    <row r="12" spans="1:23" ht="21" x14ac:dyDescent="0.65">
      <c r="A12" s="52">
        <v>7</v>
      </c>
      <c r="B12" s="9" t="s">
        <v>75</v>
      </c>
      <c r="C12" s="43">
        <v>0.5</v>
      </c>
      <c r="D12" s="43">
        <v>0.13</v>
      </c>
      <c r="E12" s="43">
        <v>0.06</v>
      </c>
      <c r="F12" s="43">
        <v>0.31</v>
      </c>
      <c r="G12" s="39">
        <f t="shared" si="0"/>
        <v>0.3432235637169978</v>
      </c>
      <c r="H12" s="39">
        <f t="shared" si="1"/>
        <v>0.10654852178807772</v>
      </c>
      <c r="I12" s="39">
        <f t="shared" si="2"/>
        <v>0.55677643628300222</v>
      </c>
      <c r="J12" s="337">
        <f t="shared" si="3"/>
        <v>-6.5485217880776325E-3</v>
      </c>
      <c r="K12" s="39">
        <f t="shared" si="4"/>
        <v>0.34209976022440658</v>
      </c>
      <c r="L12" s="39">
        <f t="shared" si="5"/>
        <v>0.10619965412986937</v>
      </c>
      <c r="M12" s="39">
        <f t="shared" si="6"/>
        <v>0.55168986486132188</v>
      </c>
      <c r="N12" s="39">
        <f t="shared" si="7"/>
        <v>0.49449818692018344</v>
      </c>
      <c r="O12" s="39">
        <f t="shared" si="8"/>
        <v>0.1284569122077574</v>
      </c>
      <c r="P12" s="39">
        <f t="shared" si="9"/>
        <v>7.2661752427486445E-2</v>
      </c>
      <c r="Q12" s="39">
        <f t="shared" si="10"/>
        <v>0.30436170699070358</v>
      </c>
      <c r="R12" s="337">
        <f t="shared" si="11"/>
        <v>0.99997855854613094</v>
      </c>
      <c r="T12">
        <v>500</v>
      </c>
      <c r="U12">
        <v>130</v>
      </c>
      <c r="V12">
        <v>60</v>
      </c>
      <c r="W12">
        <v>310</v>
      </c>
    </row>
    <row r="13" spans="1:23" ht="21" x14ac:dyDescent="0.65">
      <c r="A13" s="52">
        <v>8</v>
      </c>
      <c r="B13" s="9" t="s">
        <v>76</v>
      </c>
      <c r="C13" s="43">
        <v>0.28000000000000003</v>
      </c>
      <c r="D13" s="43">
        <v>0.27</v>
      </c>
      <c r="E13" s="43">
        <v>0.05</v>
      </c>
      <c r="F13" s="43">
        <v>0.4</v>
      </c>
      <c r="G13" s="39">
        <f t="shared" si="0"/>
        <v>0.19216559308985626</v>
      </c>
      <c r="H13" s="39">
        <f t="shared" si="1"/>
        <v>0.18607974515356918</v>
      </c>
      <c r="I13" s="39">
        <f t="shared" si="2"/>
        <v>0.63245553203367588</v>
      </c>
      <c r="J13" s="337">
        <f t="shared" si="3"/>
        <v>-1.0700870277101426E-2</v>
      </c>
      <c r="K13" s="39">
        <f t="shared" si="4"/>
        <v>0.19113742354816785</v>
      </c>
      <c r="L13" s="39">
        <f t="shared" si="5"/>
        <v>0.18508413754652694</v>
      </c>
      <c r="M13" s="39">
        <f t="shared" si="6"/>
        <v>0.62374981174913324</v>
      </c>
      <c r="N13" s="39">
        <f t="shared" si="7"/>
        <v>0.27497737859339977</v>
      </c>
      <c r="O13" s="39">
        <f t="shared" si="8"/>
        <v>0.26514852987613546</v>
      </c>
      <c r="P13" s="39">
        <f t="shared" si="9"/>
        <v>7.0753010380555745E-2</v>
      </c>
      <c r="Q13" s="39">
        <f t="shared" si="10"/>
        <v>0.38906382765707914</v>
      </c>
      <c r="R13" s="337">
        <f t="shared" si="11"/>
        <v>0.99994274650717008</v>
      </c>
      <c r="T13">
        <v>280</v>
      </c>
      <c r="U13">
        <v>270</v>
      </c>
      <c r="V13">
        <v>50</v>
      </c>
      <c r="W13">
        <v>400</v>
      </c>
    </row>
    <row r="14" spans="1:23" ht="21" x14ac:dyDescent="0.65">
      <c r="A14" s="52">
        <v>9</v>
      </c>
      <c r="B14" s="9" t="s">
        <v>77</v>
      </c>
      <c r="C14" s="43">
        <v>0.44</v>
      </c>
      <c r="D14" s="43">
        <v>0.13</v>
      </c>
      <c r="E14" s="43">
        <v>0.06</v>
      </c>
      <c r="F14" s="43">
        <v>0.36</v>
      </c>
      <c r="G14" s="39">
        <f t="shared" si="0"/>
        <v>0.29442719099991588</v>
      </c>
      <c r="H14" s="39">
        <f t="shared" si="1"/>
        <v>9.9999999999999978E-2</v>
      </c>
      <c r="I14" s="39">
        <f t="shared" si="2"/>
        <v>0.6</v>
      </c>
      <c r="J14" s="337">
        <f t="shared" si="3"/>
        <v>5.5728090000841668E-3</v>
      </c>
      <c r="K14" s="39">
        <f t="shared" si="4"/>
        <v>0.29524758424985281</v>
      </c>
      <c r="L14" s="39">
        <f t="shared" si="5"/>
        <v>0.10027864045000419</v>
      </c>
      <c r="M14" s="39">
        <f t="shared" si="6"/>
        <v>0.60446601125010513</v>
      </c>
      <c r="N14" s="39">
        <f t="shared" si="7"/>
        <v>0.44410539517084968</v>
      </c>
      <c r="O14" s="39">
        <f t="shared" si="8"/>
        <v>0.13128586534329617</v>
      </c>
      <c r="P14" s="39">
        <f t="shared" si="9"/>
        <v>5.9214052689446621E-2</v>
      </c>
      <c r="Q14" s="39">
        <f t="shared" si="10"/>
        <v>0.3653791587566122</v>
      </c>
      <c r="R14" s="337">
        <f t="shared" si="11"/>
        <v>0.99998447196020457</v>
      </c>
      <c r="T14">
        <v>445</v>
      </c>
      <c r="U14">
        <v>130</v>
      </c>
      <c r="V14">
        <v>60</v>
      </c>
      <c r="W14">
        <v>365</v>
      </c>
    </row>
    <row r="15" spans="1:23" ht="21" x14ac:dyDescent="0.65">
      <c r="A15" s="52">
        <v>10</v>
      </c>
      <c r="B15" s="9" t="s">
        <v>78</v>
      </c>
      <c r="C15" s="43">
        <v>0.3</v>
      </c>
      <c r="D15" s="43">
        <v>0.19</v>
      </c>
      <c r="E15" s="43">
        <v>0.05</v>
      </c>
      <c r="F15" s="43">
        <v>0.46</v>
      </c>
      <c r="G15" s="39">
        <f t="shared" si="0"/>
        <v>0.19354679039560785</v>
      </c>
      <c r="H15" s="39">
        <f t="shared" si="1"/>
        <v>0.12799277651732821</v>
      </c>
      <c r="I15" s="39">
        <f t="shared" si="2"/>
        <v>0.67823299831252681</v>
      </c>
      <c r="J15" s="337">
        <f t="shared" si="3"/>
        <v>2.2743477453712746E-4</v>
      </c>
      <c r="K15" s="39">
        <f t="shared" si="4"/>
        <v>0.19356880003092583</v>
      </c>
      <c r="L15" s="39">
        <f t="shared" si="5"/>
        <v>0.12800733152146301</v>
      </c>
      <c r="M15" s="39">
        <f t="shared" si="6"/>
        <v>0.67842385551596684</v>
      </c>
      <c r="N15" s="39">
        <f t="shared" si="7"/>
        <v>0.30011226359457238</v>
      </c>
      <c r="O15" s="39">
        <f t="shared" si="8"/>
        <v>0.19007233169344873</v>
      </c>
      <c r="P15" s="39">
        <f t="shared" si="9"/>
        <v>4.9556451115541009E-2</v>
      </c>
      <c r="Q15" s="39">
        <f t="shared" si="10"/>
        <v>0.46025892773314947</v>
      </c>
      <c r="R15" s="337">
        <f t="shared" si="11"/>
        <v>0.9999999741367116</v>
      </c>
      <c r="T15">
        <v>300</v>
      </c>
      <c r="U15">
        <v>190</v>
      </c>
      <c r="V15">
        <v>50</v>
      </c>
      <c r="W15">
        <v>460</v>
      </c>
    </row>
    <row r="16" spans="1:23" ht="21" x14ac:dyDescent="0.65">
      <c r="A16" s="52">
        <v>11</v>
      </c>
      <c r="B16" s="9" t="s">
        <v>79</v>
      </c>
      <c r="C16" s="43">
        <v>0.44</v>
      </c>
      <c r="D16" s="43">
        <v>0.04</v>
      </c>
      <c r="E16" s="43">
        <v>0.01</v>
      </c>
      <c r="F16" s="43">
        <v>0.51</v>
      </c>
      <c r="G16" s="39">
        <f t="shared" si="0"/>
        <v>0.26053659162661136</v>
      </c>
      <c r="H16" s="39">
        <f t="shared" si="1"/>
        <v>2.7477005855281345E-2</v>
      </c>
      <c r="I16" s="39">
        <f t="shared" si="2"/>
        <v>0.71414284285428498</v>
      </c>
      <c r="J16" s="337">
        <f t="shared" si="3"/>
        <v>-2.1564403361775675E-3</v>
      </c>
      <c r="K16" s="39">
        <f t="shared" si="4"/>
        <v>0.26025567581899445</v>
      </c>
      <c r="L16" s="39">
        <f t="shared" si="5"/>
        <v>2.7447379593409486E-2</v>
      </c>
      <c r="M16" s="39">
        <f t="shared" si="6"/>
        <v>0.71229578202886534</v>
      </c>
      <c r="N16" s="39">
        <f t="shared" si="7"/>
        <v>0.43849105706588454</v>
      </c>
      <c r="O16" s="39">
        <f t="shared" si="8"/>
        <v>3.9854664070806171E-2</v>
      </c>
      <c r="P16" s="39">
        <f t="shared" si="9"/>
        <v>1.4286672651086525E-2</v>
      </c>
      <c r="Q16" s="39">
        <f t="shared" si="10"/>
        <v>0.5073652810961129</v>
      </c>
      <c r="R16" s="337">
        <f t="shared" si="11"/>
        <v>0.99999767488389013</v>
      </c>
      <c r="T16">
        <v>440</v>
      </c>
      <c r="U16">
        <v>40</v>
      </c>
      <c r="V16">
        <v>10</v>
      </c>
      <c r="W16">
        <v>510</v>
      </c>
    </row>
    <row r="17" spans="1:23" ht="21" x14ac:dyDescent="0.65">
      <c r="A17" s="52">
        <v>12</v>
      </c>
      <c r="B17" s="9" t="s">
        <v>80</v>
      </c>
      <c r="C17" s="43">
        <v>0.42</v>
      </c>
      <c r="D17" s="43">
        <v>0.08</v>
      </c>
      <c r="E17" s="43">
        <v>0.03</v>
      </c>
      <c r="F17" s="43">
        <v>0.47</v>
      </c>
      <c r="G17" s="39">
        <f t="shared" si="0"/>
        <v>0.25783265316555593</v>
      </c>
      <c r="H17" s="39">
        <f t="shared" si="1"/>
        <v>5.6054388669461774E-2</v>
      </c>
      <c r="I17" s="39">
        <f t="shared" si="2"/>
        <v>0.68556546004010444</v>
      </c>
      <c r="J17" s="337">
        <f t="shared" si="3"/>
        <v>5.4749812487786542E-4</v>
      </c>
      <c r="K17" s="39">
        <f t="shared" si="4"/>
        <v>0.25790323461262615</v>
      </c>
      <c r="L17" s="39">
        <f t="shared" si="5"/>
        <v>5.606973350580563E-2</v>
      </c>
      <c r="M17" s="39">
        <f t="shared" si="6"/>
        <v>0.68602695694301907</v>
      </c>
      <c r="N17" s="39">
        <f t="shared" si="7"/>
        <v>0.42037122087777812</v>
      </c>
      <c r="O17" s="39">
        <f t="shared" si="8"/>
        <v>8.0074512322599808E-2</v>
      </c>
      <c r="P17" s="39">
        <f t="shared" si="9"/>
        <v>2.8921131270030431E-2</v>
      </c>
      <c r="Q17" s="39">
        <f t="shared" si="10"/>
        <v>0.47063298565249895</v>
      </c>
      <c r="R17" s="337">
        <f t="shared" si="11"/>
        <v>0.99999985012290726</v>
      </c>
      <c r="T17">
        <v>420</v>
      </c>
      <c r="U17">
        <v>80</v>
      </c>
      <c r="V17">
        <v>30</v>
      </c>
      <c r="W17">
        <v>470</v>
      </c>
    </row>
    <row r="18" spans="1:23" ht="21" x14ac:dyDescent="0.55000000000000004">
      <c r="A18" s="52">
        <v>13</v>
      </c>
      <c r="B18" s="72" t="s">
        <v>81</v>
      </c>
      <c r="C18" s="43">
        <v>0</v>
      </c>
      <c r="D18" s="43">
        <v>0</v>
      </c>
      <c r="E18" s="43">
        <v>0</v>
      </c>
      <c r="F18" s="43">
        <v>1</v>
      </c>
      <c r="G18" s="39">
        <f t="shared" si="0"/>
        <v>0</v>
      </c>
      <c r="H18" s="39">
        <f t="shared" si="1"/>
        <v>0</v>
      </c>
      <c r="I18" s="39">
        <f t="shared" si="2"/>
        <v>1</v>
      </c>
      <c r="J18" s="337">
        <f t="shared" si="3"/>
        <v>0</v>
      </c>
      <c r="K18" s="39">
        <f t="shared" si="4"/>
        <v>0</v>
      </c>
      <c r="L18" s="39">
        <f t="shared" si="5"/>
        <v>0</v>
      </c>
      <c r="M18" s="39">
        <f t="shared" si="6"/>
        <v>1</v>
      </c>
      <c r="N18" s="39">
        <f t="shared" si="7"/>
        <v>0</v>
      </c>
      <c r="O18" s="39">
        <f t="shared" si="8"/>
        <v>0</v>
      </c>
      <c r="P18" s="39">
        <f t="shared" si="9"/>
        <v>0</v>
      </c>
      <c r="Q18" s="39">
        <f t="shared" si="10"/>
        <v>1</v>
      </c>
      <c r="R18" s="337">
        <f t="shared" si="11"/>
        <v>1</v>
      </c>
      <c r="T18">
        <v>0</v>
      </c>
      <c r="U18">
        <v>0</v>
      </c>
      <c r="V18">
        <v>0</v>
      </c>
      <c r="W18">
        <v>1000</v>
      </c>
    </row>
    <row r="19" spans="1:23" ht="21" x14ac:dyDescent="0.65">
      <c r="A19" s="52">
        <v>14</v>
      </c>
      <c r="B19" s="9" t="s">
        <v>82</v>
      </c>
      <c r="C19" s="43">
        <v>0.41</v>
      </c>
      <c r="D19" s="43">
        <v>0.09</v>
      </c>
      <c r="E19" s="43">
        <v>0.03</v>
      </c>
      <c r="F19" s="43">
        <v>0.47</v>
      </c>
      <c r="G19" s="39">
        <f t="shared" si="0"/>
        <v>0.2525176919245814</v>
      </c>
      <c r="H19" s="39">
        <f t="shared" si="1"/>
        <v>6.2766017314683786E-2</v>
      </c>
      <c r="I19" s="39">
        <f t="shared" si="2"/>
        <v>0.68556546004010444</v>
      </c>
      <c r="J19" s="337">
        <f t="shared" si="3"/>
        <v>-8.4916927936973252E-4</v>
      </c>
      <c r="K19" s="39">
        <f t="shared" si="4"/>
        <v>0.25241047679134154</v>
      </c>
      <c r="L19" s="39">
        <f t="shared" si="5"/>
        <v>6.2739367827837775E-2</v>
      </c>
      <c r="M19" s="39">
        <f t="shared" si="6"/>
        <v>0.68484997510870427</v>
      </c>
      <c r="N19" s="39">
        <f t="shared" si="7"/>
        <v>0.40943766628948525</v>
      </c>
      <c r="O19" s="39">
        <f t="shared" si="8"/>
        <v>8.9870337265897812E-2</v>
      </c>
      <c r="P19" s="39">
        <f t="shared" si="9"/>
        <v>3.1672147494023771E-2</v>
      </c>
      <c r="Q19" s="39">
        <f t="shared" si="10"/>
        <v>0.46901948840639285</v>
      </c>
      <c r="R19" s="337">
        <f t="shared" si="11"/>
        <v>0.99999963945579973</v>
      </c>
      <c r="T19">
        <v>410</v>
      </c>
      <c r="U19">
        <v>90</v>
      </c>
      <c r="V19">
        <v>30</v>
      </c>
      <c r="W19">
        <v>470</v>
      </c>
    </row>
    <row r="20" spans="1:23" ht="21" x14ac:dyDescent="0.65">
      <c r="A20" s="52">
        <v>15</v>
      </c>
      <c r="B20" s="9" t="s">
        <v>83</v>
      </c>
      <c r="C20" s="43">
        <v>0.44</v>
      </c>
      <c r="D20" s="43">
        <v>0.15</v>
      </c>
      <c r="E20" s="43">
        <v>0.08</v>
      </c>
      <c r="F20" s="43">
        <v>0.32</v>
      </c>
      <c r="G20" s="39">
        <f t="shared" si="0"/>
        <v>0.30609436375889665</v>
      </c>
      <c r="H20" s="39">
        <f t="shared" si="1"/>
        <v>0.11988003509086642</v>
      </c>
      <c r="I20" s="39">
        <f t="shared" si="2"/>
        <v>0.56568542494923801</v>
      </c>
      <c r="J20" s="337">
        <f t="shared" si="3"/>
        <v>8.3401762009989167E-3</v>
      </c>
      <c r="K20" s="39">
        <f t="shared" si="4"/>
        <v>0.30737080422283763</v>
      </c>
      <c r="L20" s="39">
        <f t="shared" si="5"/>
        <v>0.12037994539868631</v>
      </c>
      <c r="M20" s="39">
        <f t="shared" si="6"/>
        <v>0.57223186074371024</v>
      </c>
      <c r="N20" s="39">
        <f t="shared" si="7"/>
        <v>0.44625154576604409</v>
      </c>
      <c r="O20" s="39">
        <f t="shared" si="8"/>
        <v>0.15226181155762369</v>
      </c>
      <c r="P20" s="39">
        <f t="shared" si="9"/>
        <v>7.400256125899099E-2</v>
      </c>
      <c r="Q20" s="39">
        <f t="shared" si="10"/>
        <v>0.32744930245020898</v>
      </c>
      <c r="R20" s="337">
        <f t="shared" si="11"/>
        <v>0.99996522103286778</v>
      </c>
      <c r="T20">
        <v>450</v>
      </c>
      <c r="U20">
        <v>150</v>
      </c>
      <c r="V20">
        <v>80</v>
      </c>
      <c r="W20">
        <v>320</v>
      </c>
    </row>
    <row r="21" spans="1:23" ht="21" x14ac:dyDescent="0.65">
      <c r="A21" s="52">
        <v>16</v>
      </c>
      <c r="B21" s="9" t="s">
        <v>84</v>
      </c>
      <c r="C21" s="43">
        <v>0.24</v>
      </c>
      <c r="D21" s="43">
        <v>0.33</v>
      </c>
      <c r="E21" s="43">
        <v>7.0000000000000007E-2</v>
      </c>
      <c r="F21" s="43">
        <v>0.36</v>
      </c>
      <c r="G21" s="39">
        <f t="shared" si="0"/>
        <v>0.17459666924148343</v>
      </c>
      <c r="H21" s="39">
        <f t="shared" si="1"/>
        <v>0.23066238629180746</v>
      </c>
      <c r="I21" s="39">
        <f t="shared" si="2"/>
        <v>0.6</v>
      </c>
      <c r="J21" s="337">
        <f t="shared" si="3"/>
        <v>-5.2590555332909794E-3</v>
      </c>
      <c r="K21" s="39">
        <f t="shared" si="4"/>
        <v>0.17413756245174913</v>
      </c>
      <c r="L21" s="39">
        <f t="shared" si="5"/>
        <v>0.23005585314233246</v>
      </c>
      <c r="M21" s="39">
        <f t="shared" si="6"/>
        <v>0.59579966998964273</v>
      </c>
      <c r="N21" s="39">
        <f t="shared" si="7"/>
        <v>0.2378260951397427</v>
      </c>
      <c r="O21" s="39">
        <f t="shared" si="8"/>
        <v>0.32706009832782124</v>
      </c>
      <c r="P21" s="39">
        <f t="shared" si="9"/>
        <v>8.0122730987926688E-2</v>
      </c>
      <c r="Q21" s="39">
        <f t="shared" si="10"/>
        <v>0.35497724675976716</v>
      </c>
      <c r="R21" s="337">
        <f t="shared" si="11"/>
        <v>0.99998617121525779</v>
      </c>
      <c r="T21">
        <v>240</v>
      </c>
      <c r="U21">
        <v>330</v>
      </c>
      <c r="V21">
        <v>70</v>
      </c>
      <c r="W21">
        <v>360</v>
      </c>
    </row>
    <row r="22" spans="1:23" ht="21" x14ac:dyDescent="0.55000000000000004">
      <c r="A22" s="52">
        <v>17</v>
      </c>
      <c r="B22" s="72" t="s">
        <v>85</v>
      </c>
      <c r="C22" s="43">
        <v>0.21</v>
      </c>
      <c r="D22" s="43">
        <v>0.38</v>
      </c>
      <c r="E22" s="43">
        <v>0.08</v>
      </c>
      <c r="F22" s="43">
        <v>0.33</v>
      </c>
      <c r="G22" s="39">
        <f t="shared" si="0"/>
        <v>0.16039065818115061</v>
      </c>
      <c r="H22" s="39">
        <f t="shared" si="1"/>
        <v>0.26815871266383295</v>
      </c>
      <c r="I22" s="39">
        <f t="shared" si="2"/>
        <v>0.57445626465380284</v>
      </c>
      <c r="J22" s="337">
        <f t="shared" si="3"/>
        <v>-3.0056354987864076E-3</v>
      </c>
      <c r="K22" s="39">
        <f t="shared" si="4"/>
        <v>0.16014962025319912</v>
      </c>
      <c r="L22" s="39">
        <f t="shared" si="5"/>
        <v>0.26775571899078732</v>
      </c>
      <c r="M22" s="39">
        <f t="shared" si="6"/>
        <v>0.57209240229482572</v>
      </c>
      <c r="N22" s="39">
        <f t="shared" si="7"/>
        <v>0.20888866282175741</v>
      </c>
      <c r="O22" s="39">
        <f t="shared" si="8"/>
        <v>0.37805515006350909</v>
      </c>
      <c r="P22" s="39">
        <f t="shared" si="9"/>
        <v>8.5761953433993773E-2</v>
      </c>
      <c r="Q22" s="39">
        <f t="shared" si="10"/>
        <v>0.32728971676346469</v>
      </c>
      <c r="R22" s="337">
        <f t="shared" si="11"/>
        <v>0.9999954830827249</v>
      </c>
      <c r="T22">
        <v>210</v>
      </c>
      <c r="U22">
        <v>380</v>
      </c>
      <c r="V22">
        <v>80</v>
      </c>
      <c r="W22">
        <v>330</v>
      </c>
    </row>
    <row r="23" spans="1:23" ht="21" x14ac:dyDescent="0.65">
      <c r="A23" s="52">
        <v>18</v>
      </c>
      <c r="B23" s="9" t="s">
        <v>86</v>
      </c>
      <c r="C23" s="43">
        <v>0.34</v>
      </c>
      <c r="D23" s="43">
        <v>0.09</v>
      </c>
      <c r="E23" s="43">
        <v>0.02</v>
      </c>
      <c r="F23" s="43">
        <v>0.56000000000000005</v>
      </c>
      <c r="G23" s="39">
        <f t="shared" si="0"/>
        <v>0.20035182069572555</v>
      </c>
      <c r="H23" s="39">
        <f t="shared" si="1"/>
        <v>5.7894297475066692E-2</v>
      </c>
      <c r="I23" s="39">
        <f t="shared" si="2"/>
        <v>0.74833147735478833</v>
      </c>
      <c r="J23" s="337">
        <f t="shared" si="3"/>
        <v>-6.5775955255804597E-3</v>
      </c>
      <c r="K23" s="39">
        <f t="shared" si="4"/>
        <v>0.1996929040760505</v>
      </c>
      <c r="L23" s="39">
        <f t="shared" si="5"/>
        <v>5.7703894839052382E-2</v>
      </c>
      <c r="M23" s="39">
        <f t="shared" si="6"/>
        <v>0.74259238489417267</v>
      </c>
      <c r="N23" s="39">
        <f t="shared" si="7"/>
        <v>0.33645811570688189</v>
      </c>
      <c r="O23" s="39">
        <f t="shared" si="8"/>
        <v>8.9030685252025316E-2</v>
      </c>
      <c r="P23" s="39">
        <f t="shared" si="9"/>
        <v>2.3046116673818787E-2</v>
      </c>
      <c r="Q23" s="39">
        <f t="shared" si="10"/>
        <v>0.55144345010281515</v>
      </c>
      <c r="R23" s="337">
        <f t="shared" si="11"/>
        <v>0.99997836773554116</v>
      </c>
      <c r="T23">
        <v>340</v>
      </c>
      <c r="U23">
        <v>90</v>
      </c>
      <c r="V23">
        <v>20</v>
      </c>
      <c r="W23">
        <v>550</v>
      </c>
    </row>
    <row r="24" spans="1:23" ht="21" x14ac:dyDescent="0.55000000000000004">
      <c r="A24" s="52">
        <v>19</v>
      </c>
      <c r="B24" s="72" t="s">
        <v>252</v>
      </c>
      <c r="C24" s="43">
        <v>0.23</v>
      </c>
      <c r="D24" s="43">
        <v>0.25</v>
      </c>
      <c r="E24" s="43">
        <v>0.06</v>
      </c>
      <c r="F24" s="43">
        <v>0.46</v>
      </c>
      <c r="G24" s="39">
        <f t="shared" si="0"/>
        <v>0.15242938797928074</v>
      </c>
      <c r="H24" s="39">
        <f t="shared" si="1"/>
        <v>0.16438197900510898</v>
      </c>
      <c r="I24" s="39">
        <f t="shared" si="2"/>
        <v>0.67823299831252681</v>
      </c>
      <c r="J24" s="337">
        <f t="shared" si="3"/>
        <v>4.9556347030834669E-3</v>
      </c>
      <c r="K24" s="39">
        <f t="shared" si="4"/>
        <v>0.15280708016170069</v>
      </c>
      <c r="L24" s="39">
        <f t="shared" si="5"/>
        <v>0.16478928752496863</v>
      </c>
      <c r="M24" s="39">
        <f t="shared" si="6"/>
        <v>0.68239749273450323</v>
      </c>
      <c r="N24" s="39">
        <f t="shared" si="7"/>
        <v>0.23190034049639402</v>
      </c>
      <c r="O24" s="39">
        <f t="shared" si="8"/>
        <v>0.25205910255607428</v>
      </c>
      <c r="P24" s="39">
        <f t="shared" si="9"/>
        <v>5.0361939737234851E-2</v>
      </c>
      <c r="Q24" s="39">
        <f t="shared" si="10"/>
        <v>0.46566633809033636</v>
      </c>
      <c r="R24" s="337">
        <f t="shared" si="11"/>
        <v>0.9999877208800394</v>
      </c>
      <c r="T24">
        <v>230</v>
      </c>
      <c r="U24">
        <v>250</v>
      </c>
      <c r="V24">
        <v>60</v>
      </c>
      <c r="W24">
        <v>460</v>
      </c>
    </row>
    <row r="25" spans="1:23" ht="21" x14ac:dyDescent="0.55000000000000004">
      <c r="A25" s="52">
        <v>20</v>
      </c>
      <c r="B25" s="72" t="s">
        <v>253</v>
      </c>
      <c r="C25" s="43">
        <v>0.32</v>
      </c>
      <c r="D25" s="43">
        <v>0.25</v>
      </c>
      <c r="E25" s="43">
        <v>0.09</v>
      </c>
      <c r="F25" s="43">
        <v>0.35</v>
      </c>
      <c r="G25" s="39">
        <f t="shared" si="0"/>
        <v>0.22692729887728336</v>
      </c>
      <c r="H25" s="39">
        <f t="shared" si="1"/>
        <v>0.18298869093152181</v>
      </c>
      <c r="I25" s="39">
        <f t="shared" si="2"/>
        <v>0.59160797830996159</v>
      </c>
      <c r="J25" s="337">
        <f t="shared" si="3"/>
        <v>-1.5239681187666498E-3</v>
      </c>
      <c r="K25" s="39">
        <f t="shared" si="4"/>
        <v>0.22675438389289995</v>
      </c>
      <c r="L25" s="39">
        <f t="shared" si="5"/>
        <v>0.18284925646598457</v>
      </c>
      <c r="M25" s="39">
        <f t="shared" si="6"/>
        <v>0.59039577902140883</v>
      </c>
      <c r="N25" s="39">
        <f t="shared" si="7"/>
        <v>0.31916721286458516</v>
      </c>
      <c r="O25" s="39">
        <f t="shared" si="8"/>
        <v>0.24934070901960409</v>
      </c>
      <c r="P25" s="39">
        <f t="shared" si="9"/>
        <v>8.2923740990438366E-2</v>
      </c>
      <c r="Q25" s="39">
        <f t="shared" si="10"/>
        <v>0.34856717588629621</v>
      </c>
      <c r="R25" s="337">
        <f t="shared" si="11"/>
        <v>0.99999883876092399</v>
      </c>
      <c r="T25">
        <v>315</v>
      </c>
      <c r="U25">
        <v>250</v>
      </c>
      <c r="V25">
        <v>90</v>
      </c>
      <c r="W25">
        <v>345</v>
      </c>
    </row>
    <row r="26" spans="1:23" ht="21" x14ac:dyDescent="0.55000000000000004">
      <c r="A26" s="52">
        <v>21</v>
      </c>
      <c r="B26" s="72" t="s">
        <v>254</v>
      </c>
      <c r="C26" s="43">
        <v>0.32</v>
      </c>
      <c r="D26" s="43">
        <v>0.27</v>
      </c>
      <c r="E26" s="43">
        <v>0.1</v>
      </c>
      <c r="F26" s="43">
        <v>0.31</v>
      </c>
      <c r="G26" s="39">
        <f t="shared" si="0"/>
        <v>0.23694895703637497</v>
      </c>
      <c r="H26" s="39">
        <f t="shared" si="1"/>
        <v>0.20480087430338867</v>
      </c>
      <c r="I26" s="39">
        <f t="shared" si="2"/>
        <v>0.55677643628300222</v>
      </c>
      <c r="J26" s="337">
        <f t="shared" si="3"/>
        <v>1.4737323772341382E-3</v>
      </c>
      <c r="K26" s="39">
        <f t="shared" si="4"/>
        <v>0.23712355671124316</v>
      </c>
      <c r="L26" s="39">
        <f t="shared" si="5"/>
        <v>0.20495178514306206</v>
      </c>
      <c r="M26" s="39">
        <f t="shared" si="6"/>
        <v>0.55792411517391483</v>
      </c>
      <c r="N26" s="39">
        <f t="shared" si="7"/>
        <v>0.32082148227741403</v>
      </c>
      <c r="O26" s="39">
        <f t="shared" si="8"/>
        <v>0.27070032099184227</v>
      </c>
      <c r="P26" s="39">
        <f t="shared" si="9"/>
        <v>9.7197792494882806E-2</v>
      </c>
      <c r="Q26" s="39">
        <f t="shared" si="10"/>
        <v>0.31127931829259575</v>
      </c>
      <c r="R26" s="337">
        <f t="shared" si="11"/>
        <v>0.99999891405673491</v>
      </c>
      <c r="T26">
        <v>320</v>
      </c>
      <c r="U26">
        <v>270</v>
      </c>
      <c r="V26">
        <v>100</v>
      </c>
      <c r="W26">
        <v>310</v>
      </c>
    </row>
    <row r="27" spans="1:23" ht="21" x14ac:dyDescent="0.55000000000000004">
      <c r="A27" s="52">
        <v>22</v>
      </c>
      <c r="B27" s="72" t="s">
        <v>255</v>
      </c>
      <c r="C27" s="43">
        <v>0.27</v>
      </c>
      <c r="D27" s="43">
        <v>0.32</v>
      </c>
      <c r="E27" s="43">
        <v>0.13</v>
      </c>
      <c r="F27" s="43">
        <v>0.28999999999999998</v>
      </c>
      <c r="G27" s="39">
        <f t="shared" si="0"/>
        <v>0.20981499664133796</v>
      </c>
      <c r="H27" s="39">
        <f t="shared" si="1"/>
        <v>0.24250848687721505</v>
      </c>
      <c r="I27" s="39">
        <f t="shared" si="2"/>
        <v>0.53851648071345037</v>
      </c>
      <c r="J27" s="337">
        <f t="shared" si="3"/>
        <v>9.1600357679966216E-3</v>
      </c>
      <c r="K27" s="39">
        <f t="shared" si="4"/>
        <v>0.21077595307828634</v>
      </c>
      <c r="L27" s="39">
        <f t="shared" si="5"/>
        <v>0.24361918008413405</v>
      </c>
      <c r="M27" s="39">
        <f t="shared" si="6"/>
        <v>0.54558389027376186</v>
      </c>
      <c r="N27" s="39">
        <f t="shared" si="7"/>
        <v>0.27441843130928267</v>
      </c>
      <c r="O27" s="39">
        <f t="shared" si="8"/>
        <v>0.32517970493607778</v>
      </c>
      <c r="P27" s="39">
        <f t="shared" si="9"/>
        <v>0.10269812974076806</v>
      </c>
      <c r="Q27" s="39">
        <f t="shared" si="10"/>
        <v>0.29766178132625221</v>
      </c>
      <c r="R27" s="337">
        <f t="shared" si="11"/>
        <v>0.99995804731238069</v>
      </c>
      <c r="T27">
        <v>275</v>
      </c>
      <c r="U27">
        <v>305</v>
      </c>
      <c r="V27">
        <v>130</v>
      </c>
      <c r="W27">
        <v>290</v>
      </c>
    </row>
    <row r="28" spans="1:23" ht="21" x14ac:dyDescent="0.65">
      <c r="A28" s="52">
        <v>23</v>
      </c>
      <c r="B28" s="9" t="s">
        <v>87</v>
      </c>
      <c r="C28" s="43">
        <v>0.28999999999999998</v>
      </c>
      <c r="D28" s="43">
        <v>0.33</v>
      </c>
      <c r="E28" s="43">
        <v>7.0000000000000007E-2</v>
      </c>
      <c r="F28" s="43">
        <v>0.3</v>
      </c>
      <c r="G28" s="39">
        <f t="shared" si="0"/>
        <v>0.22039201728169477</v>
      </c>
      <c r="H28" s="39">
        <f t="shared" si="1"/>
        <v>0.24600283581421112</v>
      </c>
      <c r="I28" s="39">
        <f t="shared" si="2"/>
        <v>0.54772255750516607</v>
      </c>
      <c r="J28" s="337">
        <f t="shared" si="3"/>
        <v>-1.4117410601071967E-2</v>
      </c>
      <c r="K28" s="39">
        <f t="shared" si="4"/>
        <v>0.21883633498111266</v>
      </c>
      <c r="L28" s="39">
        <f t="shared" si="5"/>
        <v>0.24426637429310247</v>
      </c>
      <c r="M28" s="39">
        <f t="shared" si="6"/>
        <v>0.53684746540526507</v>
      </c>
      <c r="N28" s="39">
        <f t="shared" si="7"/>
        <v>0.28285280505434152</v>
      </c>
      <c r="O28" s="39">
        <f t="shared" si="8"/>
        <v>0.32193362945626974</v>
      </c>
      <c r="P28" s="39">
        <f t="shared" si="9"/>
        <v>0.10690871621885444</v>
      </c>
      <c r="Q28" s="39">
        <f t="shared" si="10"/>
        <v>0.28820520111205727</v>
      </c>
      <c r="R28" s="337">
        <f t="shared" si="11"/>
        <v>0.99990035184152304</v>
      </c>
      <c r="T28">
        <v>295</v>
      </c>
      <c r="U28">
        <v>330</v>
      </c>
      <c r="V28">
        <v>70</v>
      </c>
      <c r="W28">
        <v>305</v>
      </c>
    </row>
    <row r="29" spans="1:23" ht="21" x14ac:dyDescent="0.65">
      <c r="A29" s="52">
        <v>24</v>
      </c>
      <c r="B29" s="9" t="s">
        <v>88</v>
      </c>
      <c r="C29" s="43">
        <v>0.34</v>
      </c>
      <c r="D29" s="43">
        <v>0.17</v>
      </c>
      <c r="E29" s="43">
        <v>7.0000000000000007E-2</v>
      </c>
      <c r="F29" s="43">
        <v>0.42</v>
      </c>
      <c r="G29" s="39">
        <f t="shared" si="0"/>
        <v>0.22370571886734869</v>
      </c>
      <c r="H29" s="39">
        <f t="shared" si="1"/>
        <v>0.12004050494607488</v>
      </c>
      <c r="I29" s="39">
        <f t="shared" si="2"/>
        <v>0.64807406984078597</v>
      </c>
      <c r="J29" s="337">
        <f t="shared" si="3"/>
        <v>8.1797063457904606E-3</v>
      </c>
      <c r="K29" s="39">
        <f t="shared" si="4"/>
        <v>0.22462064241145313</v>
      </c>
      <c r="L29" s="39">
        <f t="shared" si="5"/>
        <v>0.12053145298610453</v>
      </c>
      <c r="M29" s="39">
        <f t="shared" si="6"/>
        <v>0.65483117770346655</v>
      </c>
      <c r="N29" s="39">
        <f t="shared" si="7"/>
        <v>0.34463163261093605</v>
      </c>
      <c r="O29" s="39">
        <f t="shared" si="8"/>
        <v>0.17238333777734319</v>
      </c>
      <c r="P29" s="39">
        <f t="shared" si="9"/>
        <v>5.4147704801049322E-2</v>
      </c>
      <c r="Q29" s="39">
        <f t="shared" si="10"/>
        <v>0.42880387129250896</v>
      </c>
      <c r="R29" s="337">
        <f t="shared" si="11"/>
        <v>0.99996654648183758</v>
      </c>
      <c r="T29">
        <v>340</v>
      </c>
      <c r="U29">
        <v>170</v>
      </c>
      <c r="V29">
        <v>70</v>
      </c>
      <c r="W29">
        <v>420</v>
      </c>
    </row>
    <row r="30" spans="1:23" ht="21" x14ac:dyDescent="0.65">
      <c r="A30" s="52">
        <v>25</v>
      </c>
      <c r="B30" s="9" t="s">
        <v>89</v>
      </c>
      <c r="C30" s="43">
        <v>0.44</v>
      </c>
      <c r="D30" s="43">
        <v>0.18</v>
      </c>
      <c r="E30" s="43">
        <v>0.09</v>
      </c>
      <c r="F30" s="43">
        <v>0.3</v>
      </c>
      <c r="G30" s="39">
        <f t="shared" si="0"/>
        <v>0.31250996919909657</v>
      </c>
      <c r="H30" s="39">
        <f t="shared" si="1"/>
        <v>0.14509776552238485</v>
      </c>
      <c r="I30" s="39">
        <f t="shared" si="2"/>
        <v>0.54772255750516607</v>
      </c>
      <c r="J30" s="337">
        <f t="shared" si="3"/>
        <v>-5.3302922266476038E-3</v>
      </c>
      <c r="K30" s="39">
        <f t="shared" si="4"/>
        <v>0.31167708446931064</v>
      </c>
      <c r="L30" s="39">
        <f t="shared" si="5"/>
        <v>0.14471105877655088</v>
      </c>
      <c r="M30" s="39">
        <f t="shared" si="6"/>
        <v>0.54360475375033301</v>
      </c>
      <c r="N30" s="39">
        <f t="shared" si="7"/>
        <v>0.4360008944884125</v>
      </c>
      <c r="O30" s="39">
        <f t="shared" si="8"/>
        <v>0.17827252947458419</v>
      </c>
      <c r="P30" s="39">
        <f t="shared" si="9"/>
        <v>9.0206241779884858E-2</v>
      </c>
      <c r="Q30" s="39">
        <f t="shared" si="10"/>
        <v>0.2955061282999602</v>
      </c>
      <c r="R30" s="337">
        <f t="shared" si="11"/>
        <v>0.99998579404284182</v>
      </c>
      <c r="T30">
        <v>435</v>
      </c>
      <c r="U30">
        <v>180</v>
      </c>
      <c r="V30">
        <v>90</v>
      </c>
      <c r="W30">
        <v>295</v>
      </c>
    </row>
    <row r="31" spans="1:23" ht="21" x14ac:dyDescent="0.65">
      <c r="A31" s="52">
        <v>26</v>
      </c>
      <c r="B31" s="9" t="s">
        <v>90</v>
      </c>
      <c r="C31" s="43">
        <v>0.44</v>
      </c>
      <c r="D31" s="43">
        <v>0.11</v>
      </c>
      <c r="E31" s="43">
        <v>0.04</v>
      </c>
      <c r="F31" s="43">
        <v>0.41</v>
      </c>
      <c r="G31" s="39">
        <f t="shared" si="0"/>
        <v>0.28164202198600385</v>
      </c>
      <c r="H31" s="39">
        <f t="shared" si="1"/>
        <v>8.0797831349513016E-2</v>
      </c>
      <c r="I31" s="39">
        <f t="shared" si="2"/>
        <v>0.6403124237432849</v>
      </c>
      <c r="J31" s="337">
        <f t="shared" si="3"/>
        <v>-2.7522770788017681E-3</v>
      </c>
      <c r="K31" s="39">
        <f t="shared" si="4"/>
        <v>0.2812544435452341</v>
      </c>
      <c r="L31" s="39">
        <f t="shared" si="5"/>
        <v>8.0686642339892936E-2</v>
      </c>
      <c r="M31" s="39">
        <f t="shared" si="6"/>
        <v>0.63805702035759326</v>
      </c>
      <c r="N31" s="39">
        <f t="shared" si="7"/>
        <v>0.43801680643554924</v>
      </c>
      <c r="O31" s="39">
        <f t="shared" si="8"/>
        <v>0.10947569144018764</v>
      </c>
      <c r="P31" s="39">
        <f t="shared" si="9"/>
        <v>4.5386953385679829E-2</v>
      </c>
      <c r="Q31" s="39">
        <f t="shared" si="10"/>
        <v>0.4071167612276102</v>
      </c>
      <c r="R31" s="337">
        <f t="shared" si="11"/>
        <v>0.99999621248902681</v>
      </c>
      <c r="T31">
        <v>440</v>
      </c>
      <c r="U31">
        <v>110</v>
      </c>
      <c r="V31">
        <v>40</v>
      </c>
      <c r="W31">
        <v>410</v>
      </c>
    </row>
    <row r="32" spans="1:23" ht="21" x14ac:dyDescent="0.65">
      <c r="A32" s="52">
        <v>27</v>
      </c>
      <c r="B32" s="9" t="s">
        <v>91</v>
      </c>
      <c r="C32" s="43">
        <v>0.43</v>
      </c>
      <c r="D32" s="43">
        <v>0.09</v>
      </c>
      <c r="E32" s="43">
        <v>0.03</v>
      </c>
      <c r="F32" s="43">
        <v>0.45</v>
      </c>
      <c r="G32" s="39">
        <f t="shared" si="0"/>
        <v>0.26726275871474903</v>
      </c>
      <c r="H32" s="39">
        <f t="shared" si="1"/>
        <v>6.4026529585016534E-2</v>
      </c>
      <c r="I32" s="39">
        <f t="shared" si="2"/>
        <v>0.67082039324993692</v>
      </c>
      <c r="J32" s="337">
        <f t="shared" si="3"/>
        <v>-2.1096815497023691E-3</v>
      </c>
      <c r="K32" s="39">
        <f t="shared" si="4"/>
        <v>0.26698083905925751</v>
      </c>
      <c r="L32" s="39">
        <f t="shared" si="5"/>
        <v>6.3958991790938044E-2</v>
      </c>
      <c r="M32" s="39">
        <f t="shared" si="6"/>
        <v>0.66905905646074426</v>
      </c>
      <c r="N32" s="39">
        <f t="shared" si="7"/>
        <v>0.42853066497295444</v>
      </c>
      <c r="O32" s="39">
        <f t="shared" si="8"/>
        <v>8.967543803056427E-2</v>
      </c>
      <c r="P32" s="39">
        <f t="shared" si="9"/>
        <v>3.4151650587457602E-2</v>
      </c>
      <c r="Q32" s="39">
        <f t="shared" si="10"/>
        <v>0.4476400210321414</v>
      </c>
      <c r="R32" s="337">
        <f t="shared" si="11"/>
        <v>0.99999777462311779</v>
      </c>
      <c r="T32">
        <v>430</v>
      </c>
      <c r="U32">
        <v>90</v>
      </c>
      <c r="V32">
        <v>30</v>
      </c>
      <c r="W32">
        <v>450</v>
      </c>
    </row>
    <row r="33" spans="1:23" ht="21" x14ac:dyDescent="0.65">
      <c r="A33" s="52">
        <v>28</v>
      </c>
      <c r="B33" s="9" t="s">
        <v>92</v>
      </c>
      <c r="C33" s="43">
        <v>0.36</v>
      </c>
      <c r="D33" s="43">
        <v>0.24</v>
      </c>
      <c r="E33" s="43">
        <v>0.08</v>
      </c>
      <c r="F33" s="43">
        <v>0.33</v>
      </c>
      <c r="G33" s="39">
        <f t="shared" si="0"/>
        <v>0.2562061216380046</v>
      </c>
      <c r="H33" s="39">
        <f t="shared" si="1"/>
        <v>0.18052717887327219</v>
      </c>
      <c r="I33" s="39">
        <f t="shared" si="2"/>
        <v>0.57445626465380284</v>
      </c>
      <c r="J33" s="337">
        <f t="shared" si="3"/>
        <v>-1.1189565165079518E-2</v>
      </c>
      <c r="K33" s="39">
        <f t="shared" si="4"/>
        <v>0.25477270409112424</v>
      </c>
      <c r="L33" s="39">
        <f t="shared" si="5"/>
        <v>0.17951716855723696</v>
      </c>
      <c r="M33" s="39">
        <f t="shared" si="6"/>
        <v>0.56567882575949302</v>
      </c>
      <c r="N33" s="39">
        <f t="shared" si="7"/>
        <v>0.35314817892157946</v>
      </c>
      <c r="O33" s="39">
        <f t="shared" si="8"/>
        <v>0.23532453603306097</v>
      </c>
      <c r="P33" s="39">
        <f t="shared" si="9"/>
        <v>9.147214892821881E-2</v>
      </c>
      <c r="Q33" s="39">
        <f t="shared" si="10"/>
        <v>0.31999253391263888</v>
      </c>
      <c r="R33" s="337">
        <f t="shared" si="11"/>
        <v>0.99993739779549817</v>
      </c>
      <c r="T33">
        <v>355</v>
      </c>
      <c r="U33">
        <v>240</v>
      </c>
      <c r="V33">
        <v>80</v>
      </c>
      <c r="W33">
        <v>325</v>
      </c>
    </row>
    <row r="34" spans="1:23" ht="21" x14ac:dyDescent="0.65">
      <c r="A34" s="52">
        <v>29</v>
      </c>
      <c r="B34" s="9" t="s">
        <v>93</v>
      </c>
      <c r="C34" s="43">
        <v>0.42</v>
      </c>
      <c r="D34" s="43">
        <v>0.09</v>
      </c>
      <c r="E34" s="43">
        <v>0.03</v>
      </c>
      <c r="F34" s="43">
        <v>0.47</v>
      </c>
      <c r="G34" s="39">
        <f t="shared" si="0"/>
        <v>0.25783265316555593</v>
      </c>
      <c r="H34" s="39">
        <f t="shared" si="1"/>
        <v>6.2766017314683786E-2</v>
      </c>
      <c r="I34" s="39">
        <f t="shared" si="2"/>
        <v>0.68556546004010444</v>
      </c>
      <c r="J34" s="337">
        <f t="shared" si="3"/>
        <v>-6.1641305203441465E-3</v>
      </c>
      <c r="K34" s="39">
        <f t="shared" si="4"/>
        <v>0.25703799610229638</v>
      </c>
      <c r="L34" s="39">
        <f t="shared" si="5"/>
        <v>6.257256835319884E-2</v>
      </c>
      <c r="M34" s="39">
        <f t="shared" si="6"/>
        <v>0.6803799364182368</v>
      </c>
      <c r="N34" s="39">
        <f t="shared" si="7"/>
        <v>0.41583552233058696</v>
      </c>
      <c r="O34" s="39">
        <f t="shared" si="8"/>
        <v>8.9061566465666153E-2</v>
      </c>
      <c r="P34" s="39">
        <f t="shared" si="9"/>
        <v>3.2167055160960398E-2</v>
      </c>
      <c r="Q34" s="39">
        <f t="shared" si="10"/>
        <v>0.46291685788048392</v>
      </c>
      <c r="R34" s="337">
        <f t="shared" si="11"/>
        <v>0.99998100183769756</v>
      </c>
      <c r="T34">
        <v>415</v>
      </c>
      <c r="U34">
        <v>90</v>
      </c>
      <c r="V34">
        <v>30</v>
      </c>
      <c r="W34">
        <v>465</v>
      </c>
    </row>
    <row r="35" spans="1:23" ht="21" x14ac:dyDescent="0.55000000000000004">
      <c r="A35" s="52">
        <v>30</v>
      </c>
      <c r="B35" s="72" t="s">
        <v>94</v>
      </c>
      <c r="C35" s="43">
        <v>0.44</v>
      </c>
      <c r="D35" s="43">
        <v>0.13</v>
      </c>
      <c r="E35" s="43">
        <v>0.05</v>
      </c>
      <c r="F35" s="43">
        <v>0.38</v>
      </c>
      <c r="G35" s="39">
        <f t="shared" si="0"/>
        <v>0.28909711351684408</v>
      </c>
      <c r="H35" s="39">
        <f t="shared" si="1"/>
        <v>9.770144255738733E-2</v>
      </c>
      <c r="I35" s="39">
        <f t="shared" si="2"/>
        <v>0.61644140029689765</v>
      </c>
      <c r="J35" s="337">
        <f t="shared" si="3"/>
        <v>-3.2399563711291712E-3</v>
      </c>
      <c r="K35" s="39">
        <f t="shared" si="4"/>
        <v>0.28862878249943713</v>
      </c>
      <c r="L35" s="39">
        <f t="shared" si="5"/>
        <v>9.7543168351746173E-2</v>
      </c>
      <c r="M35" s="39">
        <f t="shared" si="6"/>
        <v>0.61382542481949487</v>
      </c>
      <c r="N35" s="39">
        <f t="shared" si="7"/>
        <v>0.43764194415280855</v>
      </c>
      <c r="O35" s="39">
        <f t="shared" si="8"/>
        <v>0.12926362319559731</v>
      </c>
      <c r="P35" s="39">
        <f t="shared" si="9"/>
        <v>5.6307531845004248E-2</v>
      </c>
      <c r="Q35" s="39">
        <f t="shared" si="10"/>
        <v>0.37678165215483334</v>
      </c>
      <c r="R35" s="337">
        <f t="shared" si="11"/>
        <v>0.99999475134824345</v>
      </c>
      <c r="T35">
        <v>440</v>
      </c>
      <c r="U35">
        <v>130</v>
      </c>
      <c r="V35">
        <v>50</v>
      </c>
      <c r="W35">
        <v>380</v>
      </c>
    </row>
    <row r="36" spans="1:23" ht="21" x14ac:dyDescent="0.55000000000000004">
      <c r="A36" s="52">
        <v>31</v>
      </c>
      <c r="B36" s="72" t="s">
        <v>95</v>
      </c>
      <c r="C36" s="43">
        <v>0.36</v>
      </c>
      <c r="D36" s="43">
        <v>0.23</v>
      </c>
      <c r="E36" s="43">
        <v>0.08</v>
      </c>
      <c r="F36" s="43">
        <v>0.34</v>
      </c>
      <c r="G36" s="39">
        <f t="shared" si="0"/>
        <v>0.25356483704954547</v>
      </c>
      <c r="H36" s="39">
        <f t="shared" si="1"/>
        <v>0.17188825404254493</v>
      </c>
      <c r="I36" s="39">
        <f t="shared" si="2"/>
        <v>0.5830951894845301</v>
      </c>
      <c r="J36" s="337">
        <f t="shared" si="3"/>
        <v>-8.5482805766203818E-3</v>
      </c>
      <c r="K36" s="39">
        <f t="shared" si="4"/>
        <v>0.25248106536381321</v>
      </c>
      <c r="L36" s="39">
        <f t="shared" si="5"/>
        <v>0.17115357953085439</v>
      </c>
      <c r="M36" s="39">
        <f t="shared" si="6"/>
        <v>0.57634708683012836</v>
      </c>
      <c r="N36" s="39">
        <f t="shared" si="7"/>
        <v>0.35478014137164804</v>
      </c>
      <c r="O36" s="39">
        <f t="shared" si="8"/>
        <v>0.22658128171253775</v>
      </c>
      <c r="P36" s="39">
        <f t="shared" si="9"/>
        <v>8.6426076201560495E-2</v>
      </c>
      <c r="Q36" s="39">
        <f t="shared" si="10"/>
        <v>0.33217596449757553</v>
      </c>
      <c r="R36" s="337">
        <f t="shared" si="11"/>
        <v>0.9999634637833219</v>
      </c>
      <c r="T36">
        <v>350</v>
      </c>
      <c r="U36">
        <v>230</v>
      </c>
      <c r="V36">
        <v>80</v>
      </c>
      <c r="W36">
        <v>340</v>
      </c>
    </row>
    <row r="37" spans="1:23" ht="21" x14ac:dyDescent="0.65">
      <c r="A37" s="52">
        <v>32</v>
      </c>
      <c r="B37" s="9" t="s">
        <v>96</v>
      </c>
      <c r="C37" s="43">
        <v>0.36</v>
      </c>
      <c r="D37" s="43">
        <v>0.23</v>
      </c>
      <c r="E37" s="43">
        <v>0.08</v>
      </c>
      <c r="F37" s="43">
        <v>0.34</v>
      </c>
      <c r="G37" s="39">
        <f t="shared" si="0"/>
        <v>0.25356483704954547</v>
      </c>
      <c r="H37" s="39">
        <f t="shared" si="1"/>
        <v>0.17188825404254493</v>
      </c>
      <c r="I37" s="39">
        <f t="shared" si="2"/>
        <v>0.5830951894845301</v>
      </c>
      <c r="J37" s="337">
        <f t="shared" si="3"/>
        <v>-8.5482805766203818E-3</v>
      </c>
      <c r="K37" s="39">
        <f t="shared" si="4"/>
        <v>0.25248106536381321</v>
      </c>
      <c r="L37" s="39">
        <f t="shared" si="5"/>
        <v>0.17115357953085439</v>
      </c>
      <c r="M37" s="39">
        <f t="shared" si="6"/>
        <v>0.57634708683012836</v>
      </c>
      <c r="N37" s="39">
        <f t="shared" si="7"/>
        <v>0.35478014137164804</v>
      </c>
      <c r="O37" s="39">
        <f t="shared" si="8"/>
        <v>0.22658128171253775</v>
      </c>
      <c r="P37" s="39">
        <f t="shared" si="9"/>
        <v>8.6426076201560495E-2</v>
      </c>
      <c r="Q37" s="39">
        <f t="shared" si="10"/>
        <v>0.33217596449757553</v>
      </c>
      <c r="R37" s="337">
        <f t="shared" si="11"/>
        <v>0.9999634637833219</v>
      </c>
      <c r="T37">
        <v>360</v>
      </c>
      <c r="U37">
        <v>230</v>
      </c>
      <c r="V37">
        <v>80</v>
      </c>
      <c r="W37">
        <v>330</v>
      </c>
    </row>
    <row r="38" spans="1:23" ht="21" x14ac:dyDescent="0.65">
      <c r="A38" s="52">
        <v>33</v>
      </c>
      <c r="B38" s="9" t="s">
        <v>97</v>
      </c>
      <c r="C38" s="43">
        <v>0.34</v>
      </c>
      <c r="D38" s="43">
        <v>0.17</v>
      </c>
      <c r="E38" s="43">
        <v>0.06</v>
      </c>
      <c r="F38" s="43">
        <v>0.44</v>
      </c>
      <c r="G38" s="39">
        <f t="shared" si="0"/>
        <v>0.21985112856170475</v>
      </c>
      <c r="H38" s="39">
        <f t="shared" si="1"/>
        <v>0.11770000951958548</v>
      </c>
      <c r="I38" s="39">
        <f t="shared" si="2"/>
        <v>0.66332495807107994</v>
      </c>
      <c r="J38" s="337">
        <f t="shared" si="3"/>
        <v>-8.7609615237016492E-4</v>
      </c>
      <c r="K38" s="39">
        <f t="shared" si="4"/>
        <v>0.21975482319779116</v>
      </c>
      <c r="L38" s="39">
        <f t="shared" si="5"/>
        <v>0.11764845125684846</v>
      </c>
      <c r="M38" s="39">
        <f t="shared" si="6"/>
        <v>0.66259653365924331</v>
      </c>
      <c r="N38" s="39">
        <f t="shared" si="7"/>
        <v>0.33950975053020505</v>
      </c>
      <c r="O38" s="39">
        <f t="shared" si="8"/>
        <v>0.16974807006946752</v>
      </c>
      <c r="P38" s="39">
        <f t="shared" si="9"/>
        <v>5.170762921088537E-2</v>
      </c>
      <c r="Q38" s="39">
        <f t="shared" si="10"/>
        <v>0.43903416641724474</v>
      </c>
      <c r="R38" s="337">
        <f t="shared" si="11"/>
        <v>0.99999961622780265</v>
      </c>
      <c r="T38">
        <v>340</v>
      </c>
      <c r="U38">
        <v>170</v>
      </c>
      <c r="V38">
        <v>60</v>
      </c>
      <c r="W38">
        <v>430</v>
      </c>
    </row>
    <row r="39" spans="1:23" ht="21" x14ac:dyDescent="0.65">
      <c r="A39" s="52">
        <v>34</v>
      </c>
      <c r="B39" s="9" t="s">
        <v>98</v>
      </c>
      <c r="C39" s="43">
        <v>0.41</v>
      </c>
      <c r="D39" s="43">
        <v>0.18</v>
      </c>
      <c r="E39" s="43">
        <v>7.0000000000000007E-2</v>
      </c>
      <c r="F39" s="43">
        <v>0.34</v>
      </c>
      <c r="G39" s="39">
        <f t="shared" si="0"/>
        <v>0.2829302142999085</v>
      </c>
      <c r="H39" s="39">
        <f t="shared" si="1"/>
        <v>0.13801506560826782</v>
      </c>
      <c r="I39" s="39">
        <f t="shared" si="2"/>
        <v>0.5830951894845301</v>
      </c>
      <c r="J39" s="337">
        <f t="shared" si="3"/>
        <v>-4.0404693927063029E-3</v>
      </c>
      <c r="K39" s="39">
        <f t="shared" si="4"/>
        <v>0.28235862886433322</v>
      </c>
      <c r="L39" s="39">
        <f t="shared" si="5"/>
        <v>0.13773624278410654</v>
      </c>
      <c r="M39" s="39">
        <f t="shared" si="6"/>
        <v>0.579901047003332</v>
      </c>
      <c r="N39" s="39">
        <f t="shared" si="7"/>
        <v>0.40720652431185039</v>
      </c>
      <c r="O39" s="39">
        <f t="shared" si="8"/>
        <v>0.17871805537789937</v>
      </c>
      <c r="P39" s="39">
        <f t="shared" si="9"/>
        <v>7.7782033314890461E-2</v>
      </c>
      <c r="Q39" s="39">
        <f t="shared" si="10"/>
        <v>0.33628522431556068</v>
      </c>
      <c r="R39" s="337">
        <f t="shared" si="11"/>
        <v>0.9999918373202008</v>
      </c>
      <c r="T39">
        <v>410</v>
      </c>
      <c r="U39">
        <v>180</v>
      </c>
      <c r="V39">
        <v>70</v>
      </c>
      <c r="W39">
        <v>340</v>
      </c>
    </row>
    <row r="40" spans="1:23" ht="21" x14ac:dyDescent="0.65">
      <c r="A40" s="52">
        <v>35</v>
      </c>
      <c r="B40" s="9" t="s">
        <v>99</v>
      </c>
      <c r="C40" s="43">
        <v>0.47</v>
      </c>
      <c r="D40" s="43">
        <v>7.0000000000000007E-2</v>
      </c>
      <c r="E40" s="43">
        <v>0.03</v>
      </c>
      <c r="F40" s="43">
        <v>0.43</v>
      </c>
      <c r="G40" s="39">
        <f t="shared" si="0"/>
        <v>0.29293944562031371</v>
      </c>
      <c r="H40" s="39">
        <f t="shared" si="1"/>
        <v>5.1362928756347515E-2</v>
      </c>
      <c r="I40" s="39">
        <f t="shared" si="2"/>
        <v>0.65574385243020006</v>
      </c>
      <c r="J40" s="337">
        <f t="shared" si="3"/>
        <v>-4.6226806861282554E-5</v>
      </c>
      <c r="K40" s="39">
        <f t="shared" si="4"/>
        <v>0.29293267479272633</v>
      </c>
      <c r="L40" s="39">
        <f t="shared" si="5"/>
        <v>5.1361741584253787E-2</v>
      </c>
      <c r="M40" s="39">
        <f t="shared" si="6"/>
        <v>0.65570558308879046</v>
      </c>
      <c r="N40" s="39">
        <f t="shared" si="7"/>
        <v>0.46996473262266847</v>
      </c>
      <c r="O40" s="39">
        <f t="shared" si="8"/>
        <v>6.9994389926485476E-2</v>
      </c>
      <c r="P40" s="39">
        <f t="shared" si="9"/>
        <v>3.0091064688576526E-2</v>
      </c>
      <c r="Q40" s="39">
        <f t="shared" si="10"/>
        <v>0.42994981169381069</v>
      </c>
      <c r="R40" s="337">
        <f t="shared" si="11"/>
        <v>0.99999999893154112</v>
      </c>
      <c r="T40">
        <v>470</v>
      </c>
      <c r="U40">
        <v>70</v>
      </c>
      <c r="V40">
        <v>30</v>
      </c>
      <c r="W40">
        <v>430</v>
      </c>
    </row>
    <row r="41" spans="1:23" ht="21" x14ac:dyDescent="0.65">
      <c r="A41" s="52">
        <v>36</v>
      </c>
      <c r="B41" s="9" t="s">
        <v>100</v>
      </c>
      <c r="C41" s="43">
        <v>0.37</v>
      </c>
      <c r="D41" s="43">
        <v>0.12</v>
      </c>
      <c r="E41" s="43">
        <v>0.04</v>
      </c>
      <c r="F41" s="43">
        <v>0.46</v>
      </c>
      <c r="G41" s="39">
        <f t="shared" si="0"/>
        <v>0.23281035960190311</v>
      </c>
      <c r="H41" s="39">
        <f t="shared" si="1"/>
        <v>8.3344312273864074E-2</v>
      </c>
      <c r="I41" s="39">
        <f t="shared" si="2"/>
        <v>0.67823299831252681</v>
      </c>
      <c r="J41" s="337">
        <f t="shared" si="3"/>
        <v>5.6123298117060072E-3</v>
      </c>
      <c r="K41" s="39">
        <f t="shared" si="4"/>
        <v>0.23346366386273701</v>
      </c>
      <c r="L41" s="39">
        <f t="shared" si="5"/>
        <v>8.3578190158069443E-2</v>
      </c>
      <c r="M41" s="39">
        <f t="shared" si="6"/>
        <v>0.6829502714177148</v>
      </c>
      <c r="N41" s="39">
        <f t="shared" si="7"/>
        <v>0.37339342754667376</v>
      </c>
      <c r="O41" s="39">
        <f t="shared" si="8"/>
        <v>0.12114480917620823</v>
      </c>
      <c r="P41" s="39">
        <f t="shared" si="9"/>
        <v>3.9024940986638876E-2</v>
      </c>
      <c r="Q41" s="39">
        <f t="shared" si="10"/>
        <v>0.4664210732295303</v>
      </c>
      <c r="R41" s="337">
        <f t="shared" si="11"/>
        <v>0.99998425093905119</v>
      </c>
      <c r="T41">
        <v>375</v>
      </c>
      <c r="U41">
        <v>120</v>
      </c>
      <c r="V41">
        <v>40</v>
      </c>
      <c r="W41">
        <v>465</v>
      </c>
    </row>
    <row r="42" spans="1:23" ht="21" x14ac:dyDescent="0.65">
      <c r="A42" s="52">
        <v>37</v>
      </c>
      <c r="B42" s="9" t="s">
        <v>101</v>
      </c>
      <c r="C42" s="43">
        <v>0.43</v>
      </c>
      <c r="D42" s="43">
        <v>0.11</v>
      </c>
      <c r="E42" s="43">
        <v>0.05</v>
      </c>
      <c r="F42" s="43">
        <v>0.41</v>
      </c>
      <c r="G42" s="39">
        <f t="shared" si="0"/>
        <v>0.27620271524788309</v>
      </c>
      <c r="H42" s="39">
        <f t="shared" si="1"/>
        <v>8.0797831349513016E-2</v>
      </c>
      <c r="I42" s="39">
        <f t="shared" si="2"/>
        <v>0.6403124237432849</v>
      </c>
      <c r="J42" s="337">
        <f t="shared" si="3"/>
        <v>2.6870296593189957E-3</v>
      </c>
      <c r="K42" s="39">
        <f t="shared" si="4"/>
        <v>0.27657379769181084</v>
      </c>
      <c r="L42" s="39">
        <f t="shared" si="5"/>
        <v>8.0906384434135406E-2</v>
      </c>
      <c r="M42" s="39">
        <f t="shared" si="6"/>
        <v>0.64251801284195609</v>
      </c>
      <c r="N42" s="39">
        <f t="shared" si="7"/>
        <v>0.43190035936386167</v>
      </c>
      <c r="O42" s="39">
        <f t="shared" si="8"/>
        <v>0.11051346174790021</v>
      </c>
      <c r="P42" s="39">
        <f t="shared" si="9"/>
        <v>4.4753172000924879E-2</v>
      </c>
      <c r="Q42" s="39">
        <f t="shared" si="10"/>
        <v>0.41282939682637604</v>
      </c>
      <c r="R42" s="337">
        <f t="shared" si="11"/>
        <v>0.9999963899390627</v>
      </c>
      <c r="T42">
        <v>430</v>
      </c>
      <c r="U42">
        <v>110</v>
      </c>
      <c r="V42">
        <v>50</v>
      </c>
      <c r="W42">
        <v>410</v>
      </c>
    </row>
    <row r="43" spans="1:23" ht="18" x14ac:dyDescent="0.55000000000000004">
      <c r="A43" s="52">
        <v>38</v>
      </c>
      <c r="B43" s="75" t="s">
        <v>148</v>
      </c>
      <c r="C43" s="332">
        <v>0.46864</v>
      </c>
      <c r="D43" s="332">
        <v>6.4531000000000005E-2</v>
      </c>
      <c r="E43" s="332">
        <v>2.726E-2</v>
      </c>
      <c r="F43" s="332">
        <v>0.43956900000000004</v>
      </c>
      <c r="G43" s="39">
        <f t="shared" si="0"/>
        <v>0.29000000000000004</v>
      </c>
      <c r="H43" s="39">
        <f t="shared" si="1"/>
        <v>4.6999999999999931E-2</v>
      </c>
      <c r="I43" s="39">
        <f t="shared" si="2"/>
        <v>0.66300000000000003</v>
      </c>
      <c r="J43" s="337">
        <f t="shared" si="3"/>
        <v>0</v>
      </c>
      <c r="K43" s="39">
        <f t="shared" si="4"/>
        <v>0.29000000000000004</v>
      </c>
      <c r="L43" s="39">
        <f t="shared" si="5"/>
        <v>4.6999999999999931E-2</v>
      </c>
      <c r="M43" s="39">
        <f t="shared" si="6"/>
        <v>0.66300000000000003</v>
      </c>
      <c r="N43" s="39">
        <f t="shared" si="7"/>
        <v>0.46864000000000006</v>
      </c>
      <c r="O43" s="39">
        <f t="shared" si="8"/>
        <v>6.4530999999999908E-2</v>
      </c>
      <c r="P43" s="39">
        <f t="shared" si="9"/>
        <v>2.7259999999999965E-2</v>
      </c>
      <c r="Q43" s="39">
        <f t="shared" si="10"/>
        <v>0.43956900000000004</v>
      </c>
      <c r="R43" s="337">
        <f t="shared" si="11"/>
        <v>1</v>
      </c>
      <c r="T43">
        <v>469</v>
      </c>
      <c r="U43">
        <v>64</v>
      </c>
      <c r="V43">
        <v>27</v>
      </c>
      <c r="W43">
        <v>440</v>
      </c>
    </row>
    <row r="44" spans="1:23" ht="21" x14ac:dyDescent="0.65">
      <c r="A44" s="52">
        <v>39</v>
      </c>
      <c r="B44" s="9" t="s">
        <v>102</v>
      </c>
      <c r="C44" s="43">
        <v>0.42</v>
      </c>
      <c r="D44" s="43">
        <v>0.14000000000000001</v>
      </c>
      <c r="E44" s="43">
        <v>0.05</v>
      </c>
      <c r="F44" s="43">
        <v>0.4</v>
      </c>
      <c r="G44" s="39">
        <f t="shared" si="0"/>
        <v>0.27308298178006585</v>
      </c>
      <c r="H44" s="39">
        <f t="shared" si="1"/>
        <v>0.10239139080127757</v>
      </c>
      <c r="I44" s="39">
        <f t="shared" si="2"/>
        <v>0.63245553203367588</v>
      </c>
      <c r="J44" s="337">
        <f t="shared" si="3"/>
        <v>-7.9299046150191899E-3</v>
      </c>
      <c r="K44" s="39">
        <f t="shared" si="4"/>
        <v>0.27200022078131536</v>
      </c>
      <c r="L44" s="39">
        <f t="shared" si="5"/>
        <v>0.10198541382005093</v>
      </c>
      <c r="M44" s="39">
        <f t="shared" si="6"/>
        <v>0.62599864455183296</v>
      </c>
      <c r="N44" s="39">
        <f t="shared" si="7"/>
        <v>0.41452765915888978</v>
      </c>
      <c r="O44" s="39">
        <f t="shared" si="8"/>
        <v>0.13808648626286635</v>
      </c>
      <c r="P44" s="39">
        <f t="shared" si="9"/>
        <v>5.5480110151055327E-2</v>
      </c>
      <c r="Q44" s="39">
        <f t="shared" si="10"/>
        <v>0.39187430298073211</v>
      </c>
      <c r="R44" s="337">
        <f t="shared" si="11"/>
        <v>0.99996855855354361</v>
      </c>
      <c r="T44">
        <v>415</v>
      </c>
      <c r="U44">
        <v>140</v>
      </c>
      <c r="V44">
        <v>50</v>
      </c>
      <c r="W44">
        <v>395</v>
      </c>
    </row>
    <row r="45" spans="1:23" ht="21" customHeight="1" x14ac:dyDescent="0.55000000000000004">
      <c r="A45" s="52">
        <v>40</v>
      </c>
      <c r="B45" s="72" t="s">
        <v>250</v>
      </c>
      <c r="C45" s="43">
        <v>0.27</v>
      </c>
      <c r="D45" s="43">
        <v>0.35</v>
      </c>
      <c r="E45" s="43">
        <v>0.1</v>
      </c>
      <c r="F45" s="43">
        <v>0.28999999999999998</v>
      </c>
      <c r="G45" s="39">
        <f t="shared" si="0"/>
        <v>0.20981499664133796</v>
      </c>
      <c r="H45" s="39">
        <f t="shared" si="1"/>
        <v>0.26148351928654956</v>
      </c>
      <c r="I45" s="39">
        <f t="shared" si="2"/>
        <v>0.53851648071345037</v>
      </c>
      <c r="J45" s="337">
        <f t="shared" si="3"/>
        <v>-9.814996641337892E-3</v>
      </c>
      <c r="K45" s="39">
        <f t="shared" si="4"/>
        <v>0.20878532989766943</v>
      </c>
      <c r="L45" s="39">
        <f t="shared" si="5"/>
        <v>0.26020028935476819</v>
      </c>
      <c r="M45" s="39">
        <f t="shared" si="6"/>
        <v>0.530990297207795</v>
      </c>
      <c r="N45" s="39">
        <f t="shared" si="7"/>
        <v>0.26531728273046068</v>
      </c>
      <c r="O45" s="39">
        <f t="shared" si="8"/>
        <v>0.34403184853639029</v>
      </c>
      <c r="P45" s="39">
        <f t="shared" si="9"/>
        <v>0.10865200650480863</v>
      </c>
      <c r="Q45" s="39">
        <f t="shared" si="10"/>
        <v>0.28195069572882248</v>
      </c>
      <c r="R45" s="337">
        <f t="shared" si="11"/>
        <v>0.99995183350048211</v>
      </c>
      <c r="T45">
        <v>270</v>
      </c>
      <c r="U45">
        <v>345</v>
      </c>
      <c r="V45">
        <v>100</v>
      </c>
      <c r="W45">
        <v>285</v>
      </c>
    </row>
    <row r="46" spans="1:23" ht="21" x14ac:dyDescent="0.65">
      <c r="A46" s="52">
        <v>41</v>
      </c>
      <c r="B46" s="9" t="s">
        <v>103</v>
      </c>
      <c r="C46" s="43">
        <v>0.61</v>
      </c>
      <c r="D46" s="43">
        <v>0.02</v>
      </c>
      <c r="E46" s="43">
        <v>0.01</v>
      </c>
      <c r="F46" s="43">
        <v>0.37</v>
      </c>
      <c r="G46" s="39">
        <f t="shared" si="0"/>
        <v>0.38167324063134467</v>
      </c>
      <c r="H46" s="39">
        <f t="shared" si="1"/>
        <v>1.6223546810017919E-2</v>
      </c>
      <c r="I46" s="39">
        <f t="shared" si="2"/>
        <v>0.60827625302982191</v>
      </c>
      <c r="J46" s="337">
        <f t="shared" si="3"/>
        <v>-6.1730404711846099E-3</v>
      </c>
      <c r="K46" s="39">
        <f t="shared" si="4"/>
        <v>0.38049519845075191</v>
      </c>
      <c r="L46" s="39">
        <f t="shared" si="5"/>
        <v>1.6173472504495721E-2</v>
      </c>
      <c r="M46" s="39">
        <f t="shared" si="6"/>
        <v>0.60332180243758748</v>
      </c>
      <c r="N46" s="39">
        <f t="shared" si="7"/>
        <v>0.60389869394038742</v>
      </c>
      <c r="O46" s="39">
        <f t="shared" si="8"/>
        <v>1.9777198379027919E-2</v>
      </c>
      <c r="P46" s="39">
        <f t="shared" si="9"/>
        <v>1.2307857260471757E-2</v>
      </c>
      <c r="Q46" s="39">
        <f t="shared" si="10"/>
        <v>0.36399719729653934</v>
      </c>
      <c r="R46" s="337">
        <f t="shared" si="11"/>
        <v>0.99998094687642647</v>
      </c>
      <c r="T46">
        <v>600</v>
      </c>
      <c r="U46">
        <v>20</v>
      </c>
      <c r="V46">
        <v>10</v>
      </c>
      <c r="W46">
        <v>370</v>
      </c>
    </row>
    <row r="47" spans="1:23" ht="21" x14ac:dyDescent="0.55000000000000004">
      <c r="A47" s="52">
        <v>42</v>
      </c>
      <c r="B47" s="72" t="s">
        <v>104</v>
      </c>
      <c r="C47" s="43">
        <v>0.25</v>
      </c>
      <c r="D47" s="43">
        <v>0.35</v>
      </c>
      <c r="E47" s="43">
        <v>0.11</v>
      </c>
      <c r="F47" s="43">
        <v>0.28999999999999998</v>
      </c>
      <c r="G47" s="39">
        <f t="shared" si="0"/>
        <v>0.19633044212150308</v>
      </c>
      <c r="H47" s="39">
        <f t="shared" si="1"/>
        <v>0.26148351928654956</v>
      </c>
      <c r="I47" s="39">
        <f t="shared" si="2"/>
        <v>0.53851648071345037</v>
      </c>
      <c r="J47" s="337">
        <f t="shared" si="3"/>
        <v>3.6695578784969873E-3</v>
      </c>
      <c r="K47" s="39">
        <f t="shared" si="4"/>
        <v>0.19669066508184097</v>
      </c>
      <c r="L47" s="39">
        <f t="shared" si="5"/>
        <v>0.26196328374069711</v>
      </c>
      <c r="M47" s="39">
        <f t="shared" si="6"/>
        <v>0.54134268476370617</v>
      </c>
      <c r="N47" s="39">
        <f t="shared" si="7"/>
        <v>0.25164132313706244</v>
      </c>
      <c r="O47" s="39">
        <f t="shared" si="8"/>
        <v>0.35224857668762</v>
      </c>
      <c r="P47" s="39">
        <f t="shared" si="9"/>
        <v>0.10305146501196145</v>
      </c>
      <c r="Q47" s="39">
        <f t="shared" si="10"/>
        <v>0.29305190234717737</v>
      </c>
      <c r="R47" s="337">
        <f t="shared" si="11"/>
        <v>0.99999326718382131</v>
      </c>
      <c r="T47">
        <v>250</v>
      </c>
      <c r="U47">
        <v>350</v>
      </c>
      <c r="V47">
        <v>110</v>
      </c>
      <c r="W47">
        <v>290</v>
      </c>
    </row>
    <row r="48" spans="1:23" ht="21" x14ac:dyDescent="0.65">
      <c r="A48" s="52">
        <v>43</v>
      </c>
      <c r="B48" s="9" t="s">
        <v>105</v>
      </c>
      <c r="C48" s="43">
        <v>0.43</v>
      </c>
      <c r="D48" s="43">
        <v>0.16</v>
      </c>
      <c r="E48" s="43">
        <v>0.05</v>
      </c>
      <c r="F48" s="43">
        <v>0.36</v>
      </c>
      <c r="G48" s="39">
        <f t="shared" si="0"/>
        <v>0.28881944173155893</v>
      </c>
      <c r="H48" s="39">
        <f t="shared" si="1"/>
        <v>0.12111025509279794</v>
      </c>
      <c r="I48" s="39">
        <f t="shared" si="2"/>
        <v>0.6</v>
      </c>
      <c r="J48" s="337">
        <f t="shared" si="3"/>
        <v>-9.9296968243569594E-3</v>
      </c>
      <c r="K48" s="39">
        <f t="shared" si="4"/>
        <v>0.2873854969848717</v>
      </c>
      <c r="L48" s="39">
        <f t="shared" si="5"/>
        <v>0.12050896103510193</v>
      </c>
      <c r="M48" s="39">
        <f t="shared" si="6"/>
        <v>0.59208089226027028</v>
      </c>
      <c r="N48" s="39">
        <f t="shared" si="7"/>
        <v>0.42290134683216979</v>
      </c>
      <c r="O48" s="39">
        <f t="shared" si="8"/>
        <v>0.15722451603980231</v>
      </c>
      <c r="P48" s="39">
        <f t="shared" si="9"/>
        <v>6.9265055316406615E-2</v>
      </c>
      <c r="Q48" s="39">
        <f t="shared" si="10"/>
        <v>0.35055978297971779</v>
      </c>
      <c r="R48" s="337">
        <f t="shared" si="11"/>
        <v>0.99995070116809648</v>
      </c>
      <c r="T48">
        <v>430</v>
      </c>
      <c r="U48">
        <v>160</v>
      </c>
      <c r="V48">
        <v>50</v>
      </c>
      <c r="W48">
        <v>360</v>
      </c>
    </row>
    <row r="49" spans="1:23" ht="21" x14ac:dyDescent="0.65">
      <c r="A49" s="52">
        <v>44</v>
      </c>
      <c r="B49" s="9" t="s">
        <v>106</v>
      </c>
      <c r="C49" s="43">
        <v>0.32</v>
      </c>
      <c r="D49" s="43">
        <v>0.1</v>
      </c>
      <c r="E49" s="43">
        <v>0.03</v>
      </c>
      <c r="F49" s="43">
        <v>0.56000000000000005</v>
      </c>
      <c r="G49" s="39">
        <f t="shared" si="0"/>
        <v>0.18975167460989761</v>
      </c>
      <c r="H49" s="39">
        <f t="shared" si="1"/>
        <v>6.4072363108807706E-2</v>
      </c>
      <c r="I49" s="39">
        <f t="shared" si="2"/>
        <v>0.74833147735478833</v>
      </c>
      <c r="J49" s="337">
        <f t="shared" si="3"/>
        <v>-2.1555150734937634E-3</v>
      </c>
      <c r="K49" s="39">
        <f t="shared" si="4"/>
        <v>0.18954716831247645</v>
      </c>
      <c r="L49" s="39">
        <f t="shared" si="5"/>
        <v>6.400330863657E-2</v>
      </c>
      <c r="M49" s="39">
        <f t="shared" si="6"/>
        <v>0.74644836148964544</v>
      </c>
      <c r="N49" s="39">
        <f t="shared" si="7"/>
        <v>0.31890247543897843</v>
      </c>
      <c r="O49" s="39">
        <f t="shared" si="8"/>
        <v>9.9646753239795535E-2</v>
      </c>
      <c r="P49" s="39">
        <f t="shared" si="9"/>
        <v>2.4263291829382624E-2</v>
      </c>
      <c r="Q49" s="39">
        <f t="shared" si="10"/>
        <v>0.55718515637057642</v>
      </c>
      <c r="R49" s="337">
        <f t="shared" si="11"/>
        <v>0.99999767687873309</v>
      </c>
      <c r="T49">
        <v>320</v>
      </c>
      <c r="U49">
        <v>100</v>
      </c>
      <c r="V49">
        <v>30</v>
      </c>
      <c r="W49">
        <v>550</v>
      </c>
    </row>
    <row r="50" spans="1:23" ht="21" x14ac:dyDescent="0.55000000000000004">
      <c r="A50" s="52">
        <v>45</v>
      </c>
      <c r="B50" s="74" t="s">
        <v>107</v>
      </c>
      <c r="C50" s="43">
        <v>0.21</v>
      </c>
      <c r="D50" s="43">
        <v>0.4</v>
      </c>
      <c r="E50" s="43">
        <v>0.09</v>
      </c>
      <c r="F50" s="43">
        <v>0.28999999999999998</v>
      </c>
      <c r="G50" s="39">
        <f t="shared" si="0"/>
        <v>0.1685903004730972</v>
      </c>
      <c r="H50" s="39">
        <f t="shared" si="1"/>
        <v>0.29214590557835707</v>
      </c>
      <c r="I50" s="39">
        <f t="shared" si="2"/>
        <v>0.53851648071345037</v>
      </c>
      <c r="J50" s="337">
        <f t="shared" si="3"/>
        <v>7.473132350953593E-4</v>
      </c>
      <c r="K50" s="39">
        <f t="shared" si="4"/>
        <v>0.16865329535452331</v>
      </c>
      <c r="L50" s="39">
        <f t="shared" si="5"/>
        <v>0.29225506782926586</v>
      </c>
      <c r="M50" s="39">
        <f t="shared" si="6"/>
        <v>0.53909149719694283</v>
      </c>
      <c r="N50" s="39">
        <f t="shared" si="7"/>
        <v>0.21028304903367642</v>
      </c>
      <c r="O50" s="39">
        <f t="shared" si="8"/>
        <v>0.40051746883083478</v>
      </c>
      <c r="P50" s="39">
        <f t="shared" si="9"/>
        <v>9.8579560546930831E-2</v>
      </c>
      <c r="Q50" s="39">
        <f t="shared" si="10"/>
        <v>0.2906196423500414</v>
      </c>
      <c r="R50" s="337">
        <f t="shared" si="11"/>
        <v>0.99999972076148347</v>
      </c>
      <c r="T50">
        <v>210</v>
      </c>
      <c r="U50">
        <v>405</v>
      </c>
      <c r="V50">
        <v>90</v>
      </c>
      <c r="W50">
        <v>295</v>
      </c>
    </row>
    <row r="51" spans="1:23" ht="21" x14ac:dyDescent="0.65">
      <c r="A51" s="52">
        <v>46</v>
      </c>
      <c r="B51" s="9" t="s">
        <v>108</v>
      </c>
      <c r="C51" s="43">
        <v>0.16</v>
      </c>
      <c r="D51" s="43">
        <v>0.04</v>
      </c>
      <c r="E51" s="43">
        <v>0.01</v>
      </c>
      <c r="F51" s="43">
        <v>0.79</v>
      </c>
      <c r="G51" s="39">
        <f t="shared" si="0"/>
        <v>8.5859992749337533E-2</v>
      </c>
      <c r="H51" s="39">
        <f t="shared" si="1"/>
        <v>2.2223916182871006E-2</v>
      </c>
      <c r="I51" s="39">
        <f t="shared" si="2"/>
        <v>0.88881944173155891</v>
      </c>
      <c r="J51" s="337">
        <f t="shared" si="3"/>
        <v>3.0966493362325487E-3</v>
      </c>
      <c r="K51" s="39">
        <f t="shared" si="4"/>
        <v>8.599293189411561E-2</v>
      </c>
      <c r="L51" s="39">
        <f t="shared" si="5"/>
        <v>2.2258326020519095E-2</v>
      </c>
      <c r="M51" s="39">
        <f t="shared" si="6"/>
        <v>0.89174634477608739</v>
      </c>
      <c r="N51" s="39">
        <f t="shared" si="7"/>
        <v>0.16076254972205925</v>
      </c>
      <c r="O51" s="39">
        <f t="shared" si="8"/>
        <v>4.0192994816500474E-2</v>
      </c>
      <c r="P51" s="39">
        <f t="shared" si="9"/>
        <v>3.8281174271190396E-3</v>
      </c>
      <c r="Q51" s="39">
        <f t="shared" si="10"/>
        <v>0.79521154342151257</v>
      </c>
      <c r="R51" s="337">
        <f t="shared" si="11"/>
        <v>0.99999520538719133</v>
      </c>
      <c r="T51">
        <v>160</v>
      </c>
      <c r="U51">
        <v>40</v>
      </c>
      <c r="V51">
        <v>10</v>
      </c>
      <c r="W51">
        <v>790</v>
      </c>
    </row>
    <row r="52" spans="1:23" ht="21" x14ac:dyDescent="0.65">
      <c r="A52" s="52">
        <v>47</v>
      </c>
      <c r="B52" s="9" t="s">
        <v>109</v>
      </c>
      <c r="C52" s="43">
        <v>0.35</v>
      </c>
      <c r="D52" s="43">
        <v>0.1</v>
      </c>
      <c r="E52" s="43">
        <v>0.03</v>
      </c>
      <c r="F52" s="43">
        <v>0.52</v>
      </c>
      <c r="G52" s="39">
        <f t="shared" si="0"/>
        <v>0.21162765021608354</v>
      </c>
      <c r="H52" s="39">
        <f t="shared" si="1"/>
        <v>6.6290532308383221E-2</v>
      </c>
      <c r="I52" s="39">
        <f t="shared" si="2"/>
        <v>0.72111025509279791</v>
      </c>
      <c r="J52" s="337">
        <f t="shared" si="3"/>
        <v>9.715623827353248E-4</v>
      </c>
      <c r="K52" s="39">
        <f t="shared" si="4"/>
        <v>0.21173045494813184</v>
      </c>
      <c r="L52" s="39">
        <f t="shared" si="5"/>
        <v>6.632273500214439E-2</v>
      </c>
      <c r="M52" s="39">
        <f t="shared" si="6"/>
        <v>0.72194657406635787</v>
      </c>
      <c r="N52" s="39">
        <f t="shared" si="7"/>
        <v>0.35054593870317308</v>
      </c>
      <c r="O52" s="39">
        <f t="shared" si="8"/>
        <v>0.10016164781318279</v>
      </c>
      <c r="P52" s="39">
        <f t="shared" si="9"/>
        <v>2.8085085710816839E-2</v>
      </c>
      <c r="Q52" s="39">
        <f t="shared" si="10"/>
        <v>0.52120685580615111</v>
      </c>
      <c r="R52" s="337">
        <f t="shared" si="11"/>
        <v>0.99999952803332381</v>
      </c>
      <c r="T52">
        <v>350</v>
      </c>
      <c r="U52">
        <v>100</v>
      </c>
      <c r="V52">
        <v>30</v>
      </c>
      <c r="W52">
        <v>520</v>
      </c>
    </row>
    <row r="53" spans="1:23" ht="21" x14ac:dyDescent="0.55000000000000004">
      <c r="A53" s="52">
        <v>48</v>
      </c>
      <c r="B53" s="72" t="s">
        <v>110</v>
      </c>
      <c r="C53" s="43">
        <v>0.41</v>
      </c>
      <c r="D53" s="43">
        <v>0.11</v>
      </c>
      <c r="E53" s="43">
        <v>0.03</v>
      </c>
      <c r="F53" s="43">
        <v>0.46</v>
      </c>
      <c r="G53" s="39">
        <f t="shared" si="0"/>
        <v>0.25450490699635464</v>
      </c>
      <c r="H53" s="39">
        <f t="shared" si="1"/>
        <v>7.6750445214548213E-2</v>
      </c>
      <c r="I53" s="39">
        <f t="shared" si="2"/>
        <v>0.67823299831252681</v>
      </c>
      <c r="J53" s="337">
        <f t="shared" si="3"/>
        <v>-9.4883505234295562E-3</v>
      </c>
      <c r="K53" s="39">
        <f t="shared" si="4"/>
        <v>0.25329749111259753</v>
      </c>
      <c r="L53" s="39">
        <f t="shared" si="5"/>
        <v>7.6386327651035757E-2</v>
      </c>
      <c r="M53" s="39">
        <f t="shared" si="6"/>
        <v>0.67029367403745299</v>
      </c>
      <c r="N53" s="39">
        <f t="shared" si="7"/>
        <v>0.40372703088860057</v>
      </c>
      <c r="O53" s="39">
        <f t="shared" si="8"/>
        <v>0.10823741546689428</v>
      </c>
      <c r="P53" s="39">
        <f t="shared" si="9"/>
        <v>3.8696930298624387E-2</v>
      </c>
      <c r="Q53" s="39">
        <f t="shared" si="10"/>
        <v>0.44929360945462726</v>
      </c>
      <c r="R53" s="337">
        <f t="shared" si="11"/>
        <v>0.99995498610874656</v>
      </c>
      <c r="T53">
        <v>405</v>
      </c>
      <c r="U53">
        <v>110</v>
      </c>
      <c r="V53">
        <v>30</v>
      </c>
      <c r="W53">
        <v>455</v>
      </c>
    </row>
    <row r="54" spans="1:23" ht="21" x14ac:dyDescent="0.65">
      <c r="A54" s="52">
        <v>49</v>
      </c>
      <c r="B54" s="9" t="s">
        <v>111</v>
      </c>
      <c r="C54" s="43">
        <v>0.38</v>
      </c>
      <c r="D54" s="43">
        <v>0.22</v>
      </c>
      <c r="E54" s="43">
        <v>0.1</v>
      </c>
      <c r="F54" s="43">
        <v>0.3</v>
      </c>
      <c r="G54" s="39">
        <f t="shared" si="0"/>
        <v>0.27689856761836595</v>
      </c>
      <c r="H54" s="39">
        <f t="shared" si="1"/>
        <v>0.17338769758763184</v>
      </c>
      <c r="I54" s="39">
        <f t="shared" si="2"/>
        <v>0.54772255750516607</v>
      </c>
      <c r="J54" s="337">
        <f t="shared" si="3"/>
        <v>1.9911772888361323E-3</v>
      </c>
      <c r="K54" s="39">
        <f t="shared" si="4"/>
        <v>0.27717424468794244</v>
      </c>
      <c r="L54" s="39">
        <f t="shared" si="5"/>
        <v>0.1735603204104319</v>
      </c>
      <c r="M54" s="39">
        <f t="shared" si="6"/>
        <v>0.54926444370487681</v>
      </c>
      <c r="N54" s="39">
        <f t="shared" si="7"/>
        <v>0.38130947655401565</v>
      </c>
      <c r="O54" s="39">
        <f t="shared" si="8"/>
        <v>0.22078421049992389</v>
      </c>
      <c r="P54" s="39">
        <f t="shared" si="9"/>
        <v>9.6212901435117487E-2</v>
      </c>
      <c r="Q54" s="39">
        <f t="shared" si="10"/>
        <v>0.30169142911842778</v>
      </c>
      <c r="R54" s="337">
        <f t="shared" si="11"/>
        <v>0.99999801760748475</v>
      </c>
      <c r="T54">
        <v>380</v>
      </c>
      <c r="U54">
        <v>220</v>
      </c>
      <c r="V54">
        <v>100</v>
      </c>
      <c r="W54">
        <v>300</v>
      </c>
    </row>
    <row r="55" spans="1:23" ht="18" x14ac:dyDescent="0.55000000000000004">
      <c r="A55" s="52">
        <v>50</v>
      </c>
      <c r="B55" s="75" t="s">
        <v>111</v>
      </c>
      <c r="C55" s="332">
        <v>0.38945899999999994</v>
      </c>
      <c r="D55" s="332">
        <v>0.22214399999999998</v>
      </c>
      <c r="E55" s="332">
        <v>0.10217199999999999</v>
      </c>
      <c r="F55" s="332">
        <v>0.28622500000000001</v>
      </c>
      <c r="G55" s="39">
        <f t="shared" si="0"/>
        <v>0.28699999999999992</v>
      </c>
      <c r="H55" s="39">
        <f t="shared" si="1"/>
        <v>0.17799999999999994</v>
      </c>
      <c r="I55" s="39">
        <f t="shared" si="2"/>
        <v>0.53500000000000003</v>
      </c>
      <c r="J55" s="337">
        <f t="shared" si="3"/>
        <v>0</v>
      </c>
      <c r="K55" s="39">
        <f t="shared" si="4"/>
        <v>0.28699999999999992</v>
      </c>
      <c r="L55" s="39">
        <f t="shared" si="5"/>
        <v>0.17799999999999994</v>
      </c>
      <c r="M55" s="39">
        <f t="shared" si="6"/>
        <v>0.53500000000000003</v>
      </c>
      <c r="N55" s="39">
        <f t="shared" si="7"/>
        <v>0.38945899999999989</v>
      </c>
      <c r="O55" s="39">
        <f t="shared" si="8"/>
        <v>0.2221439999999999</v>
      </c>
      <c r="P55" s="39">
        <f t="shared" si="9"/>
        <v>0.10217199999999993</v>
      </c>
      <c r="Q55" s="39">
        <f t="shared" si="10"/>
        <v>0.28622500000000001</v>
      </c>
      <c r="R55" s="337">
        <f t="shared" si="11"/>
        <v>0.99999999999999978</v>
      </c>
      <c r="T55">
        <v>389</v>
      </c>
      <c r="U55">
        <v>222</v>
      </c>
      <c r="V55">
        <v>102</v>
      </c>
      <c r="W55">
        <v>287</v>
      </c>
    </row>
    <row r="56" spans="1:23" ht="21" x14ac:dyDescent="0.55000000000000004">
      <c r="A56" s="52">
        <v>51</v>
      </c>
      <c r="B56" s="72" t="s">
        <v>112</v>
      </c>
      <c r="C56" s="43">
        <v>0.41</v>
      </c>
      <c r="D56" s="43">
        <v>0.12</v>
      </c>
      <c r="E56" s="43">
        <v>0.05</v>
      </c>
      <c r="F56" s="43">
        <v>0.42</v>
      </c>
      <c r="G56" s="39">
        <f t="shared" si="0"/>
        <v>0.26296928807364395</v>
      </c>
      <c r="H56" s="39">
        <f t="shared" si="1"/>
        <v>8.6772852994167482E-2</v>
      </c>
      <c r="I56" s="39">
        <f t="shared" si="2"/>
        <v>0.64807406984078597</v>
      </c>
      <c r="J56" s="337">
        <f t="shared" si="3"/>
        <v>2.1837890914025992E-3</v>
      </c>
      <c r="K56" s="39">
        <f t="shared" si="4"/>
        <v>0.26325642280497852</v>
      </c>
      <c r="L56" s="39">
        <f t="shared" si="5"/>
        <v>8.6867599799066747E-2</v>
      </c>
      <c r="M56" s="39">
        <f t="shared" si="6"/>
        <v>0.64987478516225583</v>
      </c>
      <c r="N56" s="39">
        <f t="shared" si="7"/>
        <v>0.4114713665740124</v>
      </c>
      <c r="O56" s="39">
        <f t="shared" si="8"/>
        <v>0.12045210540880946</v>
      </c>
      <c r="P56" s="39">
        <f t="shared" si="9"/>
        <v>4.5736907161513567E-2</v>
      </c>
      <c r="Q56" s="39">
        <f t="shared" si="10"/>
        <v>0.42233723638968818</v>
      </c>
      <c r="R56" s="337">
        <f t="shared" si="11"/>
        <v>0.99999761553402355</v>
      </c>
      <c r="T56">
        <v>410</v>
      </c>
      <c r="U56">
        <v>120</v>
      </c>
      <c r="V56">
        <v>50</v>
      </c>
      <c r="W56">
        <v>420</v>
      </c>
    </row>
    <row r="57" spans="1:23" ht="21" x14ac:dyDescent="0.55000000000000004">
      <c r="A57" s="52">
        <v>52</v>
      </c>
      <c r="B57" s="72" t="s">
        <v>113</v>
      </c>
      <c r="C57" s="43">
        <v>0.41</v>
      </c>
      <c r="D57" s="43">
        <v>0.18</v>
      </c>
      <c r="E57" s="43">
        <v>0.08</v>
      </c>
      <c r="F57" s="43">
        <v>0.33</v>
      </c>
      <c r="G57" s="39">
        <f t="shared" si="0"/>
        <v>0.28577626205045981</v>
      </c>
      <c r="H57" s="39">
        <f t="shared" si="1"/>
        <v>0.13968657820048214</v>
      </c>
      <c r="I57" s="39">
        <f t="shared" si="2"/>
        <v>0.57445626465380284</v>
      </c>
      <c r="J57" s="337">
        <f t="shared" si="3"/>
        <v>8.0895095255217875E-5</v>
      </c>
      <c r="K57" s="39">
        <f t="shared" si="4"/>
        <v>0.28578782099942995</v>
      </c>
      <c r="L57" s="39">
        <f t="shared" si="5"/>
        <v>0.13969222818000684</v>
      </c>
      <c r="M57" s="39">
        <f t="shared" si="6"/>
        <v>0.57451994918455906</v>
      </c>
      <c r="N57" s="39">
        <f t="shared" si="7"/>
        <v>0.41005628742791894</v>
      </c>
      <c r="O57" s="39">
        <f t="shared" si="8"/>
        <v>0.18002586228480583</v>
      </c>
      <c r="P57" s="39">
        <f t="shared" si="9"/>
        <v>7.9844675004238641E-2</v>
      </c>
      <c r="Q57" s="39">
        <f t="shared" si="10"/>
        <v>0.33007317201102832</v>
      </c>
      <c r="R57" s="337">
        <f t="shared" si="11"/>
        <v>0.99999999672799178</v>
      </c>
      <c r="T57">
        <v>410</v>
      </c>
      <c r="U57">
        <v>180</v>
      </c>
      <c r="V57">
        <v>80</v>
      </c>
      <c r="W57">
        <v>330</v>
      </c>
    </row>
    <row r="58" spans="1:23" ht="21" x14ac:dyDescent="0.65">
      <c r="A58" s="52">
        <v>53</v>
      </c>
      <c r="B58" s="9" t="s">
        <v>114</v>
      </c>
      <c r="C58" s="43">
        <v>0.23</v>
      </c>
      <c r="D58" s="43">
        <v>0.41</v>
      </c>
      <c r="E58" s="43">
        <v>0.11</v>
      </c>
      <c r="F58" s="43">
        <v>0.26</v>
      </c>
      <c r="G58" s="39">
        <f t="shared" si="0"/>
        <v>0.19009804864072144</v>
      </c>
      <c r="H58" s="39">
        <f t="shared" si="1"/>
        <v>0.30863332582796643</v>
      </c>
      <c r="I58" s="39">
        <f t="shared" si="2"/>
        <v>0.50990195135927852</v>
      </c>
      <c r="J58" s="337">
        <f t="shared" si="3"/>
        <v>-8.6333258279664982E-3</v>
      </c>
      <c r="K58" s="39">
        <f t="shared" si="4"/>
        <v>0.18927745944413346</v>
      </c>
      <c r="L58" s="39">
        <f t="shared" si="5"/>
        <v>0.30730105979634553</v>
      </c>
      <c r="M58" s="39">
        <f t="shared" si="6"/>
        <v>0.50340284718080797</v>
      </c>
      <c r="N58" s="39">
        <f t="shared" si="7"/>
        <v>0.22639158063627898</v>
      </c>
      <c r="O58" s="39">
        <f t="shared" si="8"/>
        <v>0.40382639823827726</v>
      </c>
      <c r="P58" s="39">
        <f t="shared" si="9"/>
        <v>0.11633032776548405</v>
      </c>
      <c r="Q58" s="39">
        <f t="shared" si="10"/>
        <v>0.25341442654974389</v>
      </c>
      <c r="R58" s="337">
        <f t="shared" si="11"/>
        <v>0.99996273318978413</v>
      </c>
      <c r="T58">
        <v>230</v>
      </c>
      <c r="U58">
        <v>405</v>
      </c>
      <c r="V58">
        <v>110</v>
      </c>
      <c r="W58">
        <v>255</v>
      </c>
    </row>
    <row r="59" spans="1:23" ht="21" x14ac:dyDescent="0.55000000000000004">
      <c r="A59" s="52">
        <v>54</v>
      </c>
      <c r="B59" s="72" t="s">
        <v>115</v>
      </c>
      <c r="C59" s="43">
        <v>0.19</v>
      </c>
      <c r="D59" s="43">
        <v>0.2</v>
      </c>
      <c r="E59" s="43">
        <v>0.01</v>
      </c>
      <c r="F59" s="43">
        <v>0.6</v>
      </c>
      <c r="G59" s="39">
        <f t="shared" si="0"/>
        <v>0.11422277249007551</v>
      </c>
      <c r="H59" s="39">
        <f t="shared" si="1"/>
        <v>0.11983052175843245</v>
      </c>
      <c r="I59" s="39">
        <f t="shared" si="2"/>
        <v>0.7745966692414834</v>
      </c>
      <c r="J59" s="337">
        <f t="shared" si="3"/>
        <v>-8.6499634899914746E-3</v>
      </c>
      <c r="K59" s="39">
        <f t="shared" si="4"/>
        <v>0.11372876108419314</v>
      </c>
      <c r="L59" s="39">
        <f t="shared" si="5"/>
        <v>0.11931225693933392</v>
      </c>
      <c r="M59" s="39">
        <f t="shared" si="6"/>
        <v>0.76694027650937835</v>
      </c>
      <c r="N59" s="39">
        <f t="shared" si="7"/>
        <v>0.18738056604370573</v>
      </c>
      <c r="O59" s="39">
        <f t="shared" si="8"/>
        <v>0.19724616531197914</v>
      </c>
      <c r="P59" s="39">
        <f t="shared" si="9"/>
        <v>2.7138470327738744E-2</v>
      </c>
      <c r="Q59" s="39">
        <f t="shared" si="10"/>
        <v>0.5881973877322817</v>
      </c>
      <c r="R59" s="337">
        <f t="shared" si="11"/>
        <v>0.99996258941570537</v>
      </c>
      <c r="T59">
        <v>190</v>
      </c>
      <c r="U59">
        <v>200</v>
      </c>
      <c r="V59">
        <v>10</v>
      </c>
      <c r="W59">
        <v>600</v>
      </c>
    </row>
    <row r="60" spans="1:23" ht="21" x14ac:dyDescent="0.65">
      <c r="A60" s="52">
        <v>55</v>
      </c>
      <c r="B60" s="9" t="s">
        <v>116</v>
      </c>
      <c r="C60" s="43">
        <v>0.32</v>
      </c>
      <c r="D60" s="43">
        <v>0.31</v>
      </c>
      <c r="E60" s="43">
        <v>0.1</v>
      </c>
      <c r="F60" s="43">
        <v>0.28000000000000003</v>
      </c>
      <c r="G60" s="39">
        <f t="shared" si="0"/>
        <v>0.24544640702856524</v>
      </c>
      <c r="H60" s="39">
        <f t="shared" si="1"/>
        <v>0.23896431257394268</v>
      </c>
      <c r="I60" s="39">
        <f t="shared" si="2"/>
        <v>0.52915026221291817</v>
      </c>
      <c r="J60" s="337">
        <f t="shared" si="3"/>
        <v>-1.3560981815426087E-2</v>
      </c>
      <c r="K60" s="39">
        <f t="shared" si="4"/>
        <v>0.24378215989737723</v>
      </c>
      <c r="L60" s="39">
        <f t="shared" si="5"/>
        <v>0.23734401722526716</v>
      </c>
      <c r="M60" s="39">
        <f t="shared" si="6"/>
        <v>0.51882784782040603</v>
      </c>
      <c r="N60" s="39">
        <f t="shared" si="7"/>
        <v>0.31239168819736307</v>
      </c>
      <c r="O60" s="39">
        <f t="shared" si="8"/>
        <v>0.30261355381269739</v>
      </c>
      <c r="P60" s="39">
        <f t="shared" si="9"/>
        <v>0.11572047431579187</v>
      </c>
      <c r="Q60" s="39">
        <f t="shared" si="10"/>
        <v>0.26918233567395439</v>
      </c>
      <c r="R60" s="337">
        <f t="shared" si="11"/>
        <v>0.9999080519998067</v>
      </c>
      <c r="T60">
        <v>315</v>
      </c>
      <c r="U60">
        <v>305</v>
      </c>
      <c r="V60">
        <v>100</v>
      </c>
      <c r="W60">
        <v>280</v>
      </c>
    </row>
    <row r="61" spans="1:23" ht="18" x14ac:dyDescent="0.55000000000000004">
      <c r="A61" s="52">
        <v>56</v>
      </c>
      <c r="B61" s="75" t="s">
        <v>147</v>
      </c>
      <c r="C61" s="332">
        <v>0.31208100000000005</v>
      </c>
      <c r="D61" s="332">
        <v>0.27776100000000004</v>
      </c>
      <c r="E61" s="332">
        <v>9.6558000000000005E-2</v>
      </c>
      <c r="F61" s="332">
        <v>0.31360000000000005</v>
      </c>
      <c r="G61" s="39">
        <f t="shared" si="0"/>
        <v>0.23100000000000009</v>
      </c>
      <c r="H61" s="39">
        <f t="shared" si="1"/>
        <v>0.20899999999999996</v>
      </c>
      <c r="I61" s="39">
        <f t="shared" si="2"/>
        <v>0.56000000000000005</v>
      </c>
      <c r="J61" s="337">
        <f t="shared" si="3"/>
        <v>0</v>
      </c>
      <c r="K61" s="39">
        <f t="shared" si="4"/>
        <v>0.23100000000000009</v>
      </c>
      <c r="L61" s="39">
        <f t="shared" si="5"/>
        <v>0.20899999999999996</v>
      </c>
      <c r="M61" s="39">
        <f t="shared" si="6"/>
        <v>0.56000000000000005</v>
      </c>
      <c r="N61" s="39">
        <f t="shared" si="7"/>
        <v>0.31208100000000016</v>
      </c>
      <c r="O61" s="39">
        <f t="shared" si="8"/>
        <v>0.27776099999999998</v>
      </c>
      <c r="P61" s="39">
        <f t="shared" si="9"/>
        <v>9.6558000000000019E-2</v>
      </c>
      <c r="Q61" s="39">
        <f t="shared" si="10"/>
        <v>0.31360000000000005</v>
      </c>
      <c r="R61" s="337">
        <f t="shared" si="11"/>
        <v>1.0000000000000002</v>
      </c>
      <c r="T61">
        <v>312</v>
      </c>
      <c r="U61">
        <v>277</v>
      </c>
      <c r="V61">
        <v>97</v>
      </c>
      <c r="W61">
        <v>314</v>
      </c>
    </row>
    <row r="62" spans="1:23" ht="21" x14ac:dyDescent="0.65">
      <c r="A62" s="52">
        <v>57</v>
      </c>
      <c r="B62" s="9" t="s">
        <v>117</v>
      </c>
      <c r="C62" s="43">
        <v>0.63</v>
      </c>
      <c r="D62" s="43">
        <v>0.04</v>
      </c>
      <c r="E62" s="43">
        <v>0.04</v>
      </c>
      <c r="F62" s="43">
        <v>0.28999999999999998</v>
      </c>
      <c r="G62" s="39">
        <f t="shared" si="0"/>
        <v>0.42064982394909345</v>
      </c>
      <c r="H62" s="39">
        <f t="shared" si="1"/>
        <v>3.5939783940352465E-2</v>
      </c>
      <c r="I62" s="39">
        <f t="shared" si="2"/>
        <v>0.53851648071345037</v>
      </c>
      <c r="J62" s="337">
        <f t="shared" si="3"/>
        <v>4.8939113971037118E-3</v>
      </c>
      <c r="K62" s="39">
        <f t="shared" si="4"/>
        <v>0.42167913543290048</v>
      </c>
      <c r="L62" s="39">
        <f t="shared" si="5"/>
        <v>3.6027726999470031E-2</v>
      </c>
      <c r="M62" s="39">
        <f t="shared" si="6"/>
        <v>0.5422871499754387</v>
      </c>
      <c r="N62" s="39">
        <f t="shared" si="7"/>
        <v>0.63515564637546773</v>
      </c>
      <c r="O62" s="39">
        <f t="shared" si="8"/>
        <v>4.0372743902019871E-2</v>
      </c>
      <c r="P62" s="39">
        <f t="shared" si="9"/>
        <v>3.0384281545498177E-2</v>
      </c>
      <c r="Q62" s="39">
        <f t="shared" si="10"/>
        <v>0.29407535302848392</v>
      </c>
      <c r="R62" s="337">
        <f t="shared" si="11"/>
        <v>0.99998802485146965</v>
      </c>
      <c r="T62">
        <v>630</v>
      </c>
      <c r="U62">
        <v>40</v>
      </c>
      <c r="V62">
        <v>40</v>
      </c>
      <c r="W62">
        <v>290</v>
      </c>
    </row>
    <row r="63" spans="1:23" ht="21" x14ac:dyDescent="0.65">
      <c r="A63" s="52">
        <v>58</v>
      </c>
      <c r="B63" s="9" t="s">
        <v>118</v>
      </c>
      <c r="C63" s="43">
        <v>0.37</v>
      </c>
      <c r="D63" s="43">
        <v>0.24</v>
      </c>
      <c r="E63" s="43">
        <v>7.0000000000000007E-2</v>
      </c>
      <c r="F63" s="43">
        <v>0.32</v>
      </c>
      <c r="G63" s="39">
        <f t="shared" si="0"/>
        <v>0.26497696134256943</v>
      </c>
      <c r="H63" s="39">
        <f t="shared" si="1"/>
        <v>0.18264605240555032</v>
      </c>
      <c r="I63" s="39">
        <f t="shared" si="2"/>
        <v>0.56568542494923801</v>
      </c>
      <c r="J63" s="337">
        <f t="shared" si="3"/>
        <v>-1.3308438697357872E-2</v>
      </c>
      <c r="K63" s="39">
        <f t="shared" si="4"/>
        <v>0.26321374651944957</v>
      </c>
      <c r="L63" s="39">
        <f t="shared" si="5"/>
        <v>0.18143068550967348</v>
      </c>
      <c r="M63" s="39">
        <f t="shared" si="6"/>
        <v>0.55531128933573648</v>
      </c>
      <c r="N63" s="39">
        <f t="shared" si="7"/>
        <v>0.36161260625801556</v>
      </c>
      <c r="O63" s="39">
        <f t="shared" si="8"/>
        <v>0.23441810943539665</v>
      </c>
      <c r="P63" s="39">
        <f t="shared" si="9"/>
        <v>9.5510100933186334E-2</v>
      </c>
      <c r="Q63" s="39">
        <f t="shared" si="10"/>
        <v>0.30837062806371801</v>
      </c>
      <c r="R63" s="337">
        <f t="shared" si="11"/>
        <v>0.99991144469031656</v>
      </c>
      <c r="T63">
        <v>370</v>
      </c>
      <c r="U63">
        <v>240</v>
      </c>
      <c r="V63">
        <v>70</v>
      </c>
      <c r="W63">
        <v>320</v>
      </c>
    </row>
    <row r="64" spans="1:23" ht="21" x14ac:dyDescent="0.65">
      <c r="A64" s="52">
        <v>59</v>
      </c>
      <c r="B64" s="9" t="s">
        <v>45</v>
      </c>
      <c r="C64" s="43">
        <v>0.34</v>
      </c>
      <c r="D64" s="43">
        <v>0.2</v>
      </c>
      <c r="E64" s="43">
        <v>0.06</v>
      </c>
      <c r="F64" s="43">
        <v>0.4</v>
      </c>
      <c r="G64" s="39">
        <f t="shared" si="0"/>
        <v>0.22777699467058676</v>
      </c>
      <c r="H64" s="39">
        <f t="shared" si="1"/>
        <v>0.14214113720780752</v>
      </c>
      <c r="I64" s="39">
        <f t="shared" si="2"/>
        <v>0.63245553203367588</v>
      </c>
      <c r="J64" s="337">
        <f t="shared" si="3"/>
        <v>-2.3736639120701675E-3</v>
      </c>
      <c r="K64" s="39">
        <f t="shared" si="4"/>
        <v>0.22750666165446207</v>
      </c>
      <c r="L64" s="39">
        <f t="shared" si="5"/>
        <v>0.14197243956390213</v>
      </c>
      <c r="M64" s="39">
        <f t="shared" si="6"/>
        <v>0.63051949021154396</v>
      </c>
      <c r="N64" s="39">
        <f t="shared" si="7"/>
        <v>0.33865404974936114</v>
      </c>
      <c r="O64" s="39">
        <f t="shared" si="8"/>
        <v>0.19918895403156744</v>
      </c>
      <c r="P64" s="39">
        <f t="shared" si="9"/>
        <v>6.4599351544246494E-2</v>
      </c>
      <c r="Q64" s="39">
        <f t="shared" si="10"/>
        <v>0.3975548275366253</v>
      </c>
      <c r="R64" s="337">
        <f t="shared" si="11"/>
        <v>0.99999718286180028</v>
      </c>
      <c r="T64">
        <v>340</v>
      </c>
      <c r="U64">
        <v>200</v>
      </c>
      <c r="V64">
        <v>60</v>
      </c>
      <c r="W64">
        <v>400</v>
      </c>
    </row>
    <row r="65" spans="1:23" ht="21" x14ac:dyDescent="0.65">
      <c r="A65" s="52">
        <v>60</v>
      </c>
      <c r="B65" s="9" t="s">
        <v>46</v>
      </c>
      <c r="C65" s="43">
        <v>0.18</v>
      </c>
      <c r="D65" s="43">
        <v>0.2</v>
      </c>
      <c r="E65" s="43">
        <v>0</v>
      </c>
      <c r="F65" s="43">
        <v>0.62</v>
      </c>
      <c r="G65" s="39">
        <f t="shared" si="0"/>
        <v>0.10702640359873472</v>
      </c>
      <c r="H65" s="39">
        <f t="shared" si="1"/>
        <v>0.1181377264125606</v>
      </c>
      <c r="I65" s="39">
        <f t="shared" si="2"/>
        <v>0.78740078740118113</v>
      </c>
      <c r="J65" s="337">
        <f t="shared" si="3"/>
        <v>-1.2564917412476451E-2</v>
      </c>
      <c r="K65" s="39">
        <f t="shared" si="4"/>
        <v>0.10635401463764849</v>
      </c>
      <c r="L65" s="39">
        <f t="shared" si="5"/>
        <v>0.11739553102472482</v>
      </c>
      <c r="M65" s="39">
        <f t="shared" si="6"/>
        <v>0.77621098505023112</v>
      </c>
      <c r="N65" s="39">
        <f t="shared" si="7"/>
        <v>0.17641748536141683</v>
      </c>
      <c r="O65" s="39">
        <f t="shared" si="8"/>
        <v>0.19602911225897035</v>
      </c>
      <c r="P65" s="39">
        <f t="shared" si="9"/>
        <v>2.4970972049996199E-2</v>
      </c>
      <c r="Q65" s="39">
        <f t="shared" si="10"/>
        <v>0.60250349331265007</v>
      </c>
      <c r="R65" s="337">
        <f t="shared" si="11"/>
        <v>0.99992106298303352</v>
      </c>
      <c r="T65">
        <v>180</v>
      </c>
      <c r="U65">
        <v>200</v>
      </c>
      <c r="V65">
        <v>0</v>
      </c>
      <c r="W65">
        <v>620</v>
      </c>
    </row>
    <row r="66" spans="1:23" ht="21" x14ac:dyDescent="0.65">
      <c r="A66" s="52">
        <v>61</v>
      </c>
      <c r="B66" s="9" t="s">
        <v>47</v>
      </c>
      <c r="C66" s="43">
        <v>0.54</v>
      </c>
      <c r="D66" s="43">
        <v>0.01</v>
      </c>
      <c r="E66" s="43">
        <v>0</v>
      </c>
      <c r="F66" s="43">
        <v>0.46</v>
      </c>
      <c r="G66" s="39">
        <f t="shared" si="0"/>
        <v>0.32176700168747319</v>
      </c>
      <c r="H66" s="39">
        <f t="shared" si="1"/>
        <v>7.3324617275776216E-3</v>
      </c>
      <c r="I66" s="39">
        <f t="shared" si="2"/>
        <v>0.67823299831252681</v>
      </c>
      <c r="J66" s="337">
        <f t="shared" si="3"/>
        <v>-7.3324617275776216E-3</v>
      </c>
      <c r="K66" s="39">
        <f t="shared" si="4"/>
        <v>0.3205873295749378</v>
      </c>
      <c r="L66" s="39">
        <f t="shared" si="5"/>
        <v>7.3055792300844259E-3</v>
      </c>
      <c r="M66" s="39">
        <f t="shared" si="6"/>
        <v>0.67209364994623122</v>
      </c>
      <c r="N66" s="39">
        <f t="shared" si="7"/>
        <v>0.53370565280506044</v>
      </c>
      <c r="O66" s="39">
        <f t="shared" si="8"/>
        <v>9.8734383073246813E-3</v>
      </c>
      <c r="P66" s="39">
        <f t="shared" si="9"/>
        <v>4.6841522727417923E-3</v>
      </c>
      <c r="Q66" s="39">
        <f t="shared" si="10"/>
        <v>0.45170987429804721</v>
      </c>
      <c r="R66" s="337">
        <f t="shared" si="11"/>
        <v>0.9999731176831741</v>
      </c>
      <c r="T66">
        <v>535</v>
      </c>
      <c r="U66">
        <v>10</v>
      </c>
      <c r="V66">
        <v>0</v>
      </c>
      <c r="W66">
        <v>455</v>
      </c>
    </row>
    <row r="67" spans="1:23" ht="21" x14ac:dyDescent="0.65">
      <c r="A67" s="52">
        <v>62</v>
      </c>
      <c r="B67" s="9" t="s">
        <v>48</v>
      </c>
      <c r="C67" s="43">
        <v>0.01</v>
      </c>
      <c r="D67" s="43">
        <v>0.01</v>
      </c>
      <c r="E67" s="43">
        <v>0.01</v>
      </c>
      <c r="F67" s="43">
        <v>0.98</v>
      </c>
      <c r="G67" s="39">
        <f t="shared" si="0"/>
        <v>5.0379434454533856E-3</v>
      </c>
      <c r="H67" s="39">
        <f t="shared" si="1"/>
        <v>5.0379434454533856E-3</v>
      </c>
      <c r="I67" s="39">
        <f t="shared" si="2"/>
        <v>0.98994949366116658</v>
      </c>
      <c r="J67" s="337">
        <f t="shared" si="3"/>
        <v>-2.5380552073350771E-5</v>
      </c>
      <c r="K67" s="39">
        <f t="shared" si="4"/>
        <v>5.0378795125604059E-3</v>
      </c>
      <c r="L67" s="39">
        <f t="shared" si="5"/>
        <v>5.0378795125604059E-3</v>
      </c>
      <c r="M67" s="39">
        <f t="shared" si="6"/>
        <v>0.98992424081383612</v>
      </c>
      <c r="N67" s="39">
        <f t="shared" si="7"/>
        <v>9.9996183335489541E-3</v>
      </c>
      <c r="O67" s="39">
        <f t="shared" si="8"/>
        <v>9.9996183335489541E-3</v>
      </c>
      <c r="P67" s="39">
        <f t="shared" si="9"/>
        <v>5.0760459966151744E-5</v>
      </c>
      <c r="Q67" s="39">
        <f t="shared" si="10"/>
        <v>0.97995000255084985</v>
      </c>
      <c r="R67" s="337">
        <f t="shared" si="11"/>
        <v>0.99999999967791386</v>
      </c>
      <c r="T67">
        <v>10</v>
      </c>
      <c r="U67">
        <v>10</v>
      </c>
      <c r="V67">
        <v>10</v>
      </c>
      <c r="W67">
        <v>970</v>
      </c>
    </row>
    <row r="68" spans="1:23" ht="21" x14ac:dyDescent="0.65">
      <c r="A68" s="52">
        <v>63</v>
      </c>
      <c r="B68" s="9" t="s">
        <v>49</v>
      </c>
      <c r="C68" s="43">
        <v>0.16</v>
      </c>
      <c r="D68" s="43">
        <v>0.2</v>
      </c>
      <c r="E68" s="43">
        <v>0</v>
      </c>
      <c r="F68" s="43">
        <v>0.64</v>
      </c>
      <c r="G68" s="39">
        <f t="shared" si="0"/>
        <v>9.4427190999915811E-2</v>
      </c>
      <c r="H68" s="39">
        <f t="shared" si="1"/>
        <v>0.11651513899116805</v>
      </c>
      <c r="I68" s="39">
        <f t="shared" si="2"/>
        <v>0.8</v>
      </c>
      <c r="J68" s="337">
        <f t="shared" si="3"/>
        <v>-1.0942329991083799E-2</v>
      </c>
      <c r="K68" s="39">
        <f t="shared" si="4"/>
        <v>9.3910564257889725E-2</v>
      </c>
      <c r="L68" s="39">
        <f t="shared" si="5"/>
        <v>0.11587766544126887</v>
      </c>
      <c r="M68" s="39">
        <f t="shared" si="6"/>
        <v>0.79018183665443309</v>
      </c>
      <c r="N68" s="39">
        <f t="shared" si="7"/>
        <v>0.15723203837234215</v>
      </c>
      <c r="O68" s="39">
        <f t="shared" si="8"/>
        <v>0.19655648635933817</v>
      </c>
      <c r="P68" s="39">
        <f t="shared" si="9"/>
        <v>2.1764273892953056E-2</v>
      </c>
      <c r="Q68" s="39">
        <f t="shared" si="10"/>
        <v>0.62438733497857313</v>
      </c>
      <c r="R68" s="337">
        <f t="shared" si="11"/>
        <v>0.99994013360320655</v>
      </c>
      <c r="T68">
        <v>160</v>
      </c>
      <c r="U68">
        <v>200</v>
      </c>
      <c r="V68">
        <v>0</v>
      </c>
      <c r="W68">
        <v>640</v>
      </c>
    </row>
    <row r="69" spans="1:23" ht="21" x14ac:dyDescent="0.65">
      <c r="A69" s="52">
        <v>64</v>
      </c>
      <c r="B69" s="9" t="s">
        <v>50</v>
      </c>
      <c r="C69" s="43">
        <v>0.27</v>
      </c>
      <c r="D69" s="43">
        <v>0</v>
      </c>
      <c r="E69" s="43">
        <v>0</v>
      </c>
      <c r="F69" s="43">
        <v>0.73</v>
      </c>
      <c r="G69" s="39">
        <f t="shared" si="0"/>
        <v>0.1455996254682469</v>
      </c>
      <c r="H69" s="39">
        <f t="shared" si="1"/>
        <v>0</v>
      </c>
      <c r="I69" s="39">
        <f t="shared" si="2"/>
        <v>0.8544003745317531</v>
      </c>
      <c r="J69" s="337">
        <f t="shared" si="3"/>
        <v>0</v>
      </c>
      <c r="K69" s="39">
        <f t="shared" si="4"/>
        <v>0.1455996254682469</v>
      </c>
      <c r="L69" s="39">
        <f t="shared" si="5"/>
        <v>0</v>
      </c>
      <c r="M69" s="39">
        <f t="shared" si="6"/>
        <v>0.8544003745317531</v>
      </c>
      <c r="N69" s="39">
        <f t="shared" si="7"/>
        <v>0.27</v>
      </c>
      <c r="O69" s="39">
        <f t="shared" si="8"/>
        <v>0</v>
      </c>
      <c r="P69" s="39">
        <f t="shared" si="9"/>
        <v>0</v>
      </c>
      <c r="Q69" s="39">
        <f t="shared" si="10"/>
        <v>0.73</v>
      </c>
      <c r="R69" s="337">
        <f t="shared" si="11"/>
        <v>1</v>
      </c>
      <c r="T69">
        <v>270</v>
      </c>
      <c r="U69">
        <v>0</v>
      </c>
      <c r="V69">
        <v>0</v>
      </c>
      <c r="W69">
        <v>730</v>
      </c>
    </row>
    <row r="70" spans="1:23" ht="21" x14ac:dyDescent="0.65">
      <c r="A70" s="52">
        <v>65</v>
      </c>
      <c r="B70" s="9" t="s">
        <v>119</v>
      </c>
      <c r="C70" s="43">
        <v>0.09</v>
      </c>
      <c r="D70" s="43">
        <v>0.15</v>
      </c>
      <c r="E70" s="43">
        <v>0.01</v>
      </c>
      <c r="F70" s="43">
        <v>0.74</v>
      </c>
      <c r="G70" s="39">
        <f t="shared" si="0"/>
        <v>5.0810831210167273E-2</v>
      </c>
      <c r="H70" s="39">
        <f t="shared" si="1"/>
        <v>8.3165586501397715E-2</v>
      </c>
      <c r="I70" s="39">
        <f t="shared" si="2"/>
        <v>0.86023252670426265</v>
      </c>
      <c r="J70" s="337">
        <f t="shared" si="3"/>
        <v>5.7910555841723665E-3</v>
      </c>
      <c r="K70" s="39">
        <f t="shared" si="4"/>
        <v>5.0957955384075312E-2</v>
      </c>
      <c r="L70" s="39">
        <f t="shared" si="5"/>
        <v>8.3406394768457653E-2</v>
      </c>
      <c r="M70" s="39">
        <f t="shared" si="6"/>
        <v>0.86562726576627225</v>
      </c>
      <c r="N70" s="39">
        <f t="shared" si="7"/>
        <v>9.0817904393239016E-2</v>
      </c>
      <c r="O70" s="39">
        <f t="shared" si="8"/>
        <v>0.15135432558995643</v>
      </c>
      <c r="P70" s="39">
        <f t="shared" si="9"/>
        <v>8.5004386867152757E-3</v>
      </c>
      <c r="Q70" s="39">
        <f t="shared" si="10"/>
        <v>0.7493105632379925</v>
      </c>
      <c r="R70" s="337">
        <f t="shared" si="11"/>
        <v>0.99998323190790317</v>
      </c>
      <c r="T70">
        <v>90</v>
      </c>
      <c r="U70">
        <v>150</v>
      </c>
      <c r="V70">
        <v>10</v>
      </c>
      <c r="W70">
        <v>750</v>
      </c>
    </row>
    <row r="71" spans="1:23" ht="21" x14ac:dyDescent="0.65">
      <c r="A71" s="52">
        <v>66</v>
      </c>
      <c r="B71" s="9" t="s">
        <v>120</v>
      </c>
      <c r="C71" s="43">
        <v>0.5</v>
      </c>
      <c r="D71" s="43">
        <v>0.08</v>
      </c>
      <c r="E71" s="43">
        <v>0.04</v>
      </c>
      <c r="F71" s="43">
        <v>0.39</v>
      </c>
      <c r="G71" s="39">
        <f t="shared" si="0"/>
        <v>0.31889831336582053</v>
      </c>
      <c r="H71" s="39">
        <f t="shared" si="1"/>
        <v>6.1065660200264604E-2</v>
      </c>
      <c r="I71" s="39">
        <f t="shared" si="2"/>
        <v>0.62449979983983983</v>
      </c>
      <c r="J71" s="337">
        <f t="shared" si="3"/>
        <v>-4.4637734059249645E-3</v>
      </c>
      <c r="K71" s="39">
        <f t="shared" si="4"/>
        <v>0.31818656846062221</v>
      </c>
      <c r="L71" s="39">
        <f t="shared" si="5"/>
        <v>6.0929368565256006E-2</v>
      </c>
      <c r="M71" s="39">
        <f t="shared" si="6"/>
        <v>0.62087908165586692</v>
      </c>
      <c r="N71" s="39">
        <f t="shared" si="7"/>
        <v>0.4963534611908717</v>
      </c>
      <c r="O71" s="39">
        <f t="shared" si="8"/>
        <v>7.9371928755096799E-2</v>
      </c>
      <c r="P71" s="39">
        <f t="shared" si="9"/>
        <v>3.8773813404502623E-2</v>
      </c>
      <c r="Q71" s="39">
        <f t="shared" si="10"/>
        <v>0.38549083403783263</v>
      </c>
      <c r="R71" s="337">
        <f t="shared" si="11"/>
        <v>0.99999003738830372</v>
      </c>
      <c r="T71">
        <v>495</v>
      </c>
      <c r="U71">
        <v>80</v>
      </c>
      <c r="V71">
        <v>40</v>
      </c>
      <c r="W71">
        <v>385</v>
      </c>
    </row>
    <row r="72" spans="1:23" ht="21" x14ac:dyDescent="0.55000000000000004">
      <c r="A72" s="52">
        <v>67</v>
      </c>
      <c r="B72" s="72" t="s">
        <v>121</v>
      </c>
      <c r="C72" s="43">
        <v>0.27</v>
      </c>
      <c r="D72" s="43">
        <v>0.23</v>
      </c>
      <c r="E72" s="43">
        <v>0.09</v>
      </c>
      <c r="F72" s="43">
        <v>0.41</v>
      </c>
      <c r="G72" s="39">
        <f t="shared" si="0"/>
        <v>0.18430870138024713</v>
      </c>
      <c r="H72" s="39">
        <f t="shared" si="1"/>
        <v>0.15968757625671515</v>
      </c>
      <c r="I72" s="39">
        <f t="shared" si="2"/>
        <v>0.6403124237432849</v>
      </c>
      <c r="J72" s="337">
        <f t="shared" si="3"/>
        <v>1.5691298619752825E-2</v>
      </c>
      <c r="K72" s="39">
        <f t="shared" si="4"/>
        <v>0.18575472281603528</v>
      </c>
      <c r="L72" s="39">
        <f t="shared" si="5"/>
        <v>0.16094042897916949</v>
      </c>
      <c r="M72" s="39">
        <f t="shared" si="6"/>
        <v>0.65324329399170167</v>
      </c>
      <c r="N72" s="39">
        <f t="shared" si="7"/>
        <v>0.27719087106218687</v>
      </c>
      <c r="O72" s="39">
        <f t="shared" si="8"/>
        <v>0.23616833360557951</v>
      </c>
      <c r="P72" s="39">
        <f t="shared" si="9"/>
        <v>5.9790889549838883E-2</v>
      </c>
      <c r="Q72" s="39">
        <f t="shared" si="10"/>
        <v>0.42672680114512879</v>
      </c>
      <c r="R72" s="337">
        <f t="shared" si="11"/>
        <v>0.99987689536273416</v>
      </c>
      <c r="T72">
        <v>270</v>
      </c>
      <c r="U72">
        <v>230</v>
      </c>
      <c r="V72">
        <v>90</v>
      </c>
      <c r="W72">
        <v>410</v>
      </c>
    </row>
    <row r="73" spans="1:23" ht="21" x14ac:dyDescent="0.65">
      <c r="A73" s="52">
        <v>68</v>
      </c>
      <c r="B73" s="9" t="s">
        <v>122</v>
      </c>
      <c r="C73" s="43">
        <v>0.33</v>
      </c>
      <c r="D73" s="43">
        <v>0.22</v>
      </c>
      <c r="E73" s="43">
        <v>7.0000000000000007E-2</v>
      </c>
      <c r="F73" s="43">
        <v>0.38</v>
      </c>
      <c r="G73" s="39">
        <f t="shared" ref="G73:G97" si="12" xml:space="preserve"> SQRT(F73 + C73) - I73</f>
        <v>0.22617357702073815</v>
      </c>
      <c r="H73" s="39">
        <f t="shared" ref="H73:H97" si="13" xml:space="preserve"> SQRT(F73 + D73) - I73</f>
        <v>0.15815526894458576</v>
      </c>
      <c r="I73" s="39">
        <f t="shared" ref="I73:I97" si="14">SQRT(F73)</f>
        <v>0.61644140029689765</v>
      </c>
      <c r="J73" s="337">
        <f t="shared" ref="J73:J97" si="15" xml:space="preserve"> 1 - SUM(G73:I73)</f>
        <v>-7.7024626222144121E-4</v>
      </c>
      <c r="K73" s="39">
        <f t="shared" ref="K73:K97" si="16">G73*(1 + J73/2)</f>
        <v>0.2260864723445814</v>
      </c>
      <c r="L73" s="39">
        <f t="shared" ref="L73:L97" si="17">H73*(1 + J73/2)</f>
        <v>0.15809435969220817</v>
      </c>
      <c r="M73" s="39">
        <f t="shared" ref="M73:M97" si="18">(I73 +J73/2) * (1 + J73/2)</f>
        <v>0.61581901964338437</v>
      </c>
      <c r="N73" s="39">
        <f t="shared" ref="N73:N97" si="19">K73^2 + 2*K73*M73</f>
        <v>0.32957179248495966</v>
      </c>
      <c r="O73" s="39">
        <f t="shared" ref="O73:O97" si="20">L73^2 + 2*L73*M73</f>
        <v>0.21970885376009772</v>
      </c>
      <c r="P73" s="39">
        <f t="shared" ref="P73:P97" si="21">2*K73*L73</f>
        <v>7.1485992160773448E-2</v>
      </c>
      <c r="Q73" s="39">
        <f t="shared" ref="Q73:Q97" si="22">M73^2</f>
        <v>0.37923306495453901</v>
      </c>
      <c r="R73" s="337">
        <f t="shared" ref="R73:R97" si="23">SUM(N73:Q73)</f>
        <v>0.99999970336036981</v>
      </c>
      <c r="T73">
        <v>330</v>
      </c>
      <c r="U73">
        <v>220</v>
      </c>
      <c r="V73">
        <v>70</v>
      </c>
      <c r="W73">
        <v>380</v>
      </c>
    </row>
    <row r="74" spans="1:23" ht="21" x14ac:dyDescent="0.65">
      <c r="A74" s="52">
        <v>69</v>
      </c>
      <c r="B74" s="9" t="s">
        <v>123</v>
      </c>
      <c r="C74" s="43">
        <v>0</v>
      </c>
      <c r="D74" s="43">
        <v>0</v>
      </c>
      <c r="E74" s="43">
        <v>0</v>
      </c>
      <c r="F74" s="43">
        <v>1</v>
      </c>
      <c r="G74" s="39">
        <f t="shared" si="12"/>
        <v>0</v>
      </c>
      <c r="H74" s="39">
        <f t="shared" si="13"/>
        <v>0</v>
      </c>
      <c r="I74" s="39">
        <f t="shared" si="14"/>
        <v>1</v>
      </c>
      <c r="J74" s="337">
        <f t="shared" si="15"/>
        <v>0</v>
      </c>
      <c r="K74" s="39">
        <f t="shared" si="16"/>
        <v>0</v>
      </c>
      <c r="L74" s="39">
        <f t="shared" si="17"/>
        <v>0</v>
      </c>
      <c r="M74" s="39">
        <f t="shared" si="18"/>
        <v>1</v>
      </c>
      <c r="N74" s="39">
        <f t="shared" si="19"/>
        <v>0</v>
      </c>
      <c r="O74" s="39">
        <f t="shared" si="20"/>
        <v>0</v>
      </c>
      <c r="P74" s="39">
        <f t="shared" si="21"/>
        <v>0</v>
      </c>
      <c r="Q74" s="39">
        <f t="shared" si="22"/>
        <v>1</v>
      </c>
      <c r="R74" s="337">
        <f t="shared" si="23"/>
        <v>1</v>
      </c>
      <c r="T74">
        <v>0</v>
      </c>
      <c r="U74">
        <v>0</v>
      </c>
      <c r="V74">
        <v>0</v>
      </c>
      <c r="W74">
        <v>1000</v>
      </c>
    </row>
    <row r="75" spans="1:23" ht="21" x14ac:dyDescent="0.65">
      <c r="A75" s="52">
        <v>70</v>
      </c>
      <c r="B75" s="9" t="s">
        <v>124</v>
      </c>
      <c r="C75" s="43">
        <v>0.22</v>
      </c>
      <c r="D75" s="43">
        <v>0.27</v>
      </c>
      <c r="E75" s="43">
        <v>0.06</v>
      </c>
      <c r="F75" s="43">
        <v>0.45</v>
      </c>
      <c r="G75" s="39">
        <f t="shared" si="12"/>
        <v>0.14771488393730814</v>
      </c>
      <c r="H75" s="39">
        <f t="shared" si="13"/>
        <v>0.1777077441739201</v>
      </c>
      <c r="I75" s="39">
        <f t="shared" si="14"/>
        <v>0.67082039324993692</v>
      </c>
      <c r="J75" s="337">
        <f t="shared" si="15"/>
        <v>3.7569786388348403E-3</v>
      </c>
      <c r="K75" s="39">
        <f t="shared" si="16"/>
        <v>0.14799236476910335</v>
      </c>
      <c r="L75" s="39">
        <f t="shared" si="17"/>
        <v>0.17804156627332859</v>
      </c>
      <c r="M75" s="39">
        <f t="shared" si="18"/>
        <v>0.67396254023544488</v>
      </c>
      <c r="N75" s="39">
        <f t="shared" si="19"/>
        <v>0.22138436022042227</v>
      </c>
      <c r="O75" s="39">
        <f t="shared" si="20"/>
        <v>0.27168549186719976</v>
      </c>
      <c r="P75" s="39">
        <f t="shared" si="21"/>
        <v>5.269758483996987E-2</v>
      </c>
      <c r="Q75" s="39">
        <f t="shared" si="22"/>
        <v>0.45422550564061365</v>
      </c>
      <c r="R75" s="337">
        <f t="shared" si="23"/>
        <v>0.99999294256820548</v>
      </c>
      <c r="T75">
        <v>220</v>
      </c>
      <c r="U75">
        <v>270</v>
      </c>
      <c r="V75">
        <v>60</v>
      </c>
      <c r="W75">
        <v>450</v>
      </c>
    </row>
    <row r="76" spans="1:23" ht="21" x14ac:dyDescent="0.65">
      <c r="A76" s="52">
        <v>71</v>
      </c>
      <c r="B76" s="9" t="s">
        <v>125</v>
      </c>
      <c r="C76" s="43">
        <v>0.39</v>
      </c>
      <c r="D76" s="43">
        <v>0.2</v>
      </c>
      <c r="E76" s="43">
        <v>0.09</v>
      </c>
      <c r="F76" s="43">
        <v>0.33</v>
      </c>
      <c r="G76" s="39">
        <f t="shared" si="12"/>
        <v>0.27407187277005418</v>
      </c>
      <c r="H76" s="39">
        <f t="shared" si="13"/>
        <v>0.15355472427424899</v>
      </c>
      <c r="I76" s="39">
        <f t="shared" si="14"/>
        <v>0.57445626465380284</v>
      </c>
      <c r="J76" s="337">
        <f t="shared" si="15"/>
        <v>-2.0828616981058978E-3</v>
      </c>
      <c r="K76" s="39">
        <f t="shared" si="16"/>
        <v>0.27378644586689371</v>
      </c>
      <c r="L76" s="39">
        <f t="shared" si="17"/>
        <v>0.15339480764737196</v>
      </c>
      <c r="M76" s="39">
        <f t="shared" si="18"/>
        <v>0.57281766190752104</v>
      </c>
      <c r="N76" s="39">
        <f t="shared" si="19"/>
        <v>0.38861844150731378</v>
      </c>
      <c r="O76" s="39">
        <f t="shared" si="20"/>
        <v>0.19926447714381731</v>
      </c>
      <c r="P76" s="39">
        <f t="shared" si="21"/>
        <v>8.3994838400419547E-2</v>
      </c>
      <c r="Q76" s="39">
        <f t="shared" si="22"/>
        <v>0.32812007379319907</v>
      </c>
      <c r="R76" s="337">
        <f t="shared" si="23"/>
        <v>0.99999783084474969</v>
      </c>
      <c r="T76">
        <v>385</v>
      </c>
      <c r="U76">
        <v>200</v>
      </c>
      <c r="V76">
        <v>90</v>
      </c>
      <c r="W76">
        <v>325</v>
      </c>
    </row>
    <row r="77" spans="1:23" ht="21" x14ac:dyDescent="0.65">
      <c r="A77" s="52">
        <v>72</v>
      </c>
      <c r="B77" s="9" t="s">
        <v>126</v>
      </c>
      <c r="C77" s="43">
        <v>0.53</v>
      </c>
      <c r="D77" s="43">
        <v>0.08</v>
      </c>
      <c r="E77" s="43">
        <v>0.04</v>
      </c>
      <c r="F77" s="43">
        <v>0.35</v>
      </c>
      <c r="G77" s="39">
        <f t="shared" si="12"/>
        <v>0.34647517365472436</v>
      </c>
      <c r="H77" s="39">
        <f t="shared" si="13"/>
        <v>6.4135874120238467E-2</v>
      </c>
      <c r="I77" s="39">
        <f t="shared" si="14"/>
        <v>0.59160797830996159</v>
      </c>
      <c r="J77" s="337">
        <f t="shared" si="15"/>
        <v>-2.2190260849244137E-3</v>
      </c>
      <c r="K77" s="39">
        <f t="shared" si="16"/>
        <v>0.3460907549306651</v>
      </c>
      <c r="L77" s="39">
        <f t="shared" si="17"/>
        <v>6.4064714531412353E-2</v>
      </c>
      <c r="M77" s="39">
        <f t="shared" si="18"/>
        <v>0.58984329951873116</v>
      </c>
      <c r="N77" s="39">
        <f t="shared" si="19"/>
        <v>0.52805743629094182</v>
      </c>
      <c r="O77" s="39">
        <f t="shared" si="20"/>
        <v>7.9680572851859088E-2</v>
      </c>
      <c r="P77" s="39">
        <f t="shared" si="21"/>
        <v>4.4344410833188103E-2</v>
      </c>
      <c r="Q77" s="39">
        <f t="shared" si="22"/>
        <v>0.34791511798714359</v>
      </c>
      <c r="R77" s="337">
        <f t="shared" si="23"/>
        <v>0.99999753796313251</v>
      </c>
      <c r="T77">
        <v>530</v>
      </c>
      <c r="U77">
        <v>80</v>
      </c>
      <c r="V77">
        <v>40</v>
      </c>
      <c r="W77">
        <v>350</v>
      </c>
    </row>
    <row r="78" spans="1:23" ht="21" x14ac:dyDescent="0.65">
      <c r="A78" s="52">
        <v>73</v>
      </c>
      <c r="B78" s="9" t="s">
        <v>127</v>
      </c>
      <c r="C78" s="43">
        <v>0.43</v>
      </c>
      <c r="D78" s="43">
        <v>0.16</v>
      </c>
      <c r="E78" s="43">
        <v>0.08</v>
      </c>
      <c r="F78" s="43">
        <v>0.33</v>
      </c>
      <c r="G78" s="39">
        <f t="shared" si="12"/>
        <v>0.29732352405433182</v>
      </c>
      <c r="H78" s="39">
        <f t="shared" si="13"/>
        <v>0.12554373534619712</v>
      </c>
      <c r="I78" s="39">
        <f t="shared" si="14"/>
        <v>0.57445626465380284</v>
      </c>
      <c r="J78" s="337">
        <f t="shared" si="15"/>
        <v>2.6764759456682219E-3</v>
      </c>
      <c r="K78" s="39">
        <f t="shared" si="16"/>
        <v>0.29772141368443822</v>
      </c>
      <c r="L78" s="39">
        <f t="shared" si="17"/>
        <v>0.12571174274008884</v>
      </c>
      <c r="M78" s="39">
        <f t="shared" si="18"/>
        <v>0.57656505269460101</v>
      </c>
      <c r="N78" s="39">
        <f t="shared" si="19"/>
        <v>0.43194956530481887</v>
      </c>
      <c r="O78" s="39">
        <f t="shared" si="20"/>
        <v>0.16076543741728916</v>
      </c>
      <c r="P78" s="39">
        <f t="shared" si="21"/>
        <v>7.4854155530627325E-2</v>
      </c>
      <c r="Q78" s="39">
        <f t="shared" si="22"/>
        <v>0.33242725998872802</v>
      </c>
      <c r="R78" s="337">
        <f t="shared" si="23"/>
        <v>0.99999641824146335</v>
      </c>
      <c r="T78">
        <v>430</v>
      </c>
      <c r="U78">
        <v>160</v>
      </c>
      <c r="V78">
        <v>80</v>
      </c>
      <c r="W78">
        <v>330</v>
      </c>
    </row>
    <row r="79" spans="1:23" ht="21" x14ac:dyDescent="0.65">
      <c r="A79" s="52">
        <v>74</v>
      </c>
      <c r="B79" s="9" t="s">
        <v>128</v>
      </c>
      <c r="C79" s="43">
        <v>0.36</v>
      </c>
      <c r="D79" s="43">
        <v>0.23</v>
      </c>
      <c r="E79" s="43">
        <v>0.08</v>
      </c>
      <c r="F79" s="43">
        <v>0.33</v>
      </c>
      <c r="G79" s="39">
        <f t="shared" si="12"/>
        <v>0.2562061216380046</v>
      </c>
      <c r="H79" s="39">
        <f t="shared" si="13"/>
        <v>0.17387521270098549</v>
      </c>
      <c r="I79" s="39">
        <f t="shared" si="14"/>
        <v>0.57445626465380284</v>
      </c>
      <c r="J79" s="337">
        <f t="shared" si="15"/>
        <v>-4.537598992792935E-3</v>
      </c>
      <c r="K79" s="39">
        <f t="shared" si="16"/>
        <v>0.25562484131825863</v>
      </c>
      <c r="L79" s="39">
        <f t="shared" si="17"/>
        <v>0.17348072470597367</v>
      </c>
      <c r="M79" s="39">
        <f t="shared" si="18"/>
        <v>0.5708892865246129</v>
      </c>
      <c r="N79" s="39">
        <f t="shared" si="19"/>
        <v>0.35721102605528104</v>
      </c>
      <c r="O79" s="39">
        <f t="shared" si="20"/>
        <v>0.228172136150842</v>
      </c>
      <c r="P79" s="39">
        <f t="shared" si="21"/>
        <v>8.869196544948206E-2</v>
      </c>
      <c r="Q79" s="39">
        <f t="shared" si="22"/>
        <v>0.32591457746858155</v>
      </c>
      <c r="R79" s="337">
        <f t="shared" si="23"/>
        <v>0.99998970512418672</v>
      </c>
      <c r="T79">
        <v>360</v>
      </c>
      <c r="U79">
        <v>230</v>
      </c>
      <c r="V79">
        <v>80</v>
      </c>
      <c r="W79">
        <v>330</v>
      </c>
    </row>
    <row r="80" spans="1:23" ht="21" x14ac:dyDescent="0.65">
      <c r="A80" s="52">
        <v>75</v>
      </c>
      <c r="B80" s="9" t="s">
        <v>129</v>
      </c>
      <c r="C80" s="43">
        <v>0.26</v>
      </c>
      <c r="D80" s="43">
        <v>0.19</v>
      </c>
      <c r="E80" s="43">
        <v>0.05</v>
      </c>
      <c r="F80" s="43">
        <v>0.5</v>
      </c>
      <c r="G80" s="39">
        <f t="shared" si="12"/>
        <v>0.16467300752158709</v>
      </c>
      <c r="H80" s="39">
        <f t="shared" si="13"/>
        <v>0.12355560510525987</v>
      </c>
      <c r="I80" s="39">
        <f t="shared" si="14"/>
        <v>0.70710678118654757</v>
      </c>
      <c r="J80" s="337">
        <f t="shared" si="15"/>
        <v>4.6646061866054689E-3</v>
      </c>
      <c r="K80" s="39">
        <f t="shared" si="16"/>
        <v>0.16505707488641314</v>
      </c>
      <c r="L80" s="39">
        <f t="shared" si="17"/>
        <v>0.12384377422524175</v>
      </c>
      <c r="M80" s="39">
        <f t="shared" si="18"/>
        <v>0.71109371125062604</v>
      </c>
      <c r="N80" s="39">
        <f t="shared" si="19"/>
        <v>0.26198593386836305</v>
      </c>
      <c r="O80" s="39">
        <f t="shared" si="20"/>
        <v>0.19146633847257619</v>
      </c>
      <c r="P80" s="39">
        <f t="shared" si="21"/>
        <v>4.0882582233023539E-2</v>
      </c>
      <c r="Q80" s="39">
        <f t="shared" si="22"/>
        <v>0.50565426618018872</v>
      </c>
      <c r="R80" s="337">
        <f t="shared" si="23"/>
        <v>0.99998912075415147</v>
      </c>
      <c r="T80">
        <v>260</v>
      </c>
      <c r="U80">
        <v>190</v>
      </c>
      <c r="V80">
        <v>50</v>
      </c>
      <c r="W80">
        <v>500</v>
      </c>
    </row>
    <row r="81" spans="1:23" ht="21" x14ac:dyDescent="0.65">
      <c r="A81" s="52">
        <v>76</v>
      </c>
      <c r="B81" s="9" t="s">
        <v>130</v>
      </c>
      <c r="C81" s="43">
        <v>0.34</v>
      </c>
      <c r="D81" s="43">
        <v>0.12</v>
      </c>
      <c r="E81" s="43">
        <v>0.03</v>
      </c>
      <c r="F81" s="43">
        <v>0.51</v>
      </c>
      <c r="G81" s="39">
        <f t="shared" si="12"/>
        <v>0.20781160287500378</v>
      </c>
      <c r="H81" s="39">
        <f t="shared" si="13"/>
        <v>7.9582550465092217E-2</v>
      </c>
      <c r="I81" s="39">
        <f t="shared" si="14"/>
        <v>0.71414284285428498</v>
      </c>
      <c r="J81" s="337">
        <f t="shared" si="15"/>
        <v>-1.5369961943809685E-3</v>
      </c>
      <c r="K81" s="39">
        <f t="shared" si="16"/>
        <v>0.20765190005362022</v>
      </c>
      <c r="L81" s="39">
        <f t="shared" si="17"/>
        <v>7.9521391426490229E-2</v>
      </c>
      <c r="M81" s="39">
        <f t="shared" si="18"/>
        <v>0.71282611793056416</v>
      </c>
      <c r="N81" s="39">
        <f t="shared" si="19"/>
        <v>0.3391587071881339</v>
      </c>
      <c r="O81" s="39">
        <f t="shared" si="20"/>
        <v>0.11969350118036882</v>
      </c>
      <c r="P81" s="39">
        <f t="shared" si="21"/>
        <v>3.302553604923672E-2</v>
      </c>
      <c r="Q81" s="39">
        <f t="shared" si="22"/>
        <v>0.50812107440395859</v>
      </c>
      <c r="R81" s="337">
        <f t="shared" si="23"/>
        <v>0.99999881882169805</v>
      </c>
      <c r="T81">
        <v>340</v>
      </c>
      <c r="U81">
        <v>120</v>
      </c>
      <c r="V81">
        <v>30</v>
      </c>
      <c r="W81">
        <v>510</v>
      </c>
    </row>
    <row r="82" spans="1:23" ht="21" x14ac:dyDescent="0.65">
      <c r="A82" s="52">
        <v>77</v>
      </c>
      <c r="B82" s="9" t="s">
        <v>131</v>
      </c>
      <c r="C82" s="43">
        <v>0.42</v>
      </c>
      <c r="D82" s="43">
        <v>0.16</v>
      </c>
      <c r="E82" s="43">
        <v>0.05</v>
      </c>
      <c r="F82" s="43">
        <v>0.38</v>
      </c>
      <c r="G82" s="39">
        <f t="shared" si="12"/>
        <v>0.27798579070301821</v>
      </c>
      <c r="H82" s="39">
        <f t="shared" si="13"/>
        <v>0.11840552253805581</v>
      </c>
      <c r="I82" s="39">
        <f t="shared" si="14"/>
        <v>0.61644140029689765</v>
      </c>
      <c r="J82" s="337">
        <f t="shared" si="15"/>
        <v>-1.2832713537971774E-2</v>
      </c>
      <c r="K82" s="39">
        <f t="shared" si="16"/>
        <v>0.27620213469315902</v>
      </c>
      <c r="L82" s="39">
        <f t="shared" si="17"/>
        <v>0.11764579046203344</v>
      </c>
      <c r="M82" s="39">
        <f t="shared" si="18"/>
        <v>0.6061109052106205</v>
      </c>
      <c r="N82" s="39">
        <f t="shared" si="19"/>
        <v>0.41110587096901063</v>
      </c>
      <c r="O82" s="39">
        <f t="shared" si="20"/>
        <v>0.15645332511576082</v>
      </c>
      <c r="P82" s="39">
        <f t="shared" si="21"/>
        <v>6.4988036926555443E-2</v>
      </c>
      <c r="Q82" s="39">
        <f t="shared" si="22"/>
        <v>0.36737042941523779</v>
      </c>
      <c r="R82" s="337">
        <f t="shared" si="23"/>
        <v>0.99991766242656466</v>
      </c>
      <c r="T82">
        <v>415</v>
      </c>
      <c r="U82">
        <v>160</v>
      </c>
      <c r="V82">
        <v>50</v>
      </c>
      <c r="W82">
        <v>375</v>
      </c>
    </row>
    <row r="83" spans="1:23" ht="21" x14ac:dyDescent="0.65">
      <c r="A83" s="52">
        <v>78</v>
      </c>
      <c r="B83" s="9" t="s">
        <v>132</v>
      </c>
      <c r="C83" s="43">
        <v>0</v>
      </c>
      <c r="D83" s="43">
        <v>0</v>
      </c>
      <c r="E83" s="43">
        <v>0</v>
      </c>
      <c r="F83" s="43">
        <v>1</v>
      </c>
      <c r="G83" s="39">
        <f t="shared" si="12"/>
        <v>0</v>
      </c>
      <c r="H83" s="39">
        <f t="shared" si="13"/>
        <v>0</v>
      </c>
      <c r="I83" s="39">
        <f t="shared" si="14"/>
        <v>1</v>
      </c>
      <c r="J83" s="337">
        <f t="shared" si="15"/>
        <v>0</v>
      </c>
      <c r="K83" s="39">
        <f t="shared" si="16"/>
        <v>0</v>
      </c>
      <c r="L83" s="39">
        <f t="shared" si="17"/>
        <v>0</v>
      </c>
      <c r="M83" s="39">
        <f t="shared" si="18"/>
        <v>1</v>
      </c>
      <c r="N83" s="39">
        <f t="shared" si="19"/>
        <v>0</v>
      </c>
      <c r="O83" s="39">
        <f t="shared" si="20"/>
        <v>0</v>
      </c>
      <c r="P83" s="39">
        <f t="shared" si="21"/>
        <v>0</v>
      </c>
      <c r="Q83" s="39">
        <f t="shared" si="22"/>
        <v>1</v>
      </c>
      <c r="R83" s="337">
        <f t="shared" si="23"/>
        <v>1</v>
      </c>
      <c r="T83">
        <v>0</v>
      </c>
      <c r="U83">
        <v>0</v>
      </c>
      <c r="V83">
        <v>0</v>
      </c>
      <c r="W83">
        <v>1000</v>
      </c>
    </row>
    <row r="84" spans="1:23" ht="21" x14ac:dyDescent="0.65">
      <c r="A84" s="52">
        <v>79</v>
      </c>
      <c r="B84" s="9" t="s">
        <v>133</v>
      </c>
      <c r="C84" s="43">
        <v>0.37</v>
      </c>
      <c r="D84" s="43">
        <v>0.16</v>
      </c>
      <c r="E84" s="43">
        <v>0.05</v>
      </c>
      <c r="F84" s="43">
        <v>0.42</v>
      </c>
      <c r="G84" s="39">
        <f t="shared" si="12"/>
        <v>0.24074537189077294</v>
      </c>
      <c r="H84" s="39">
        <f t="shared" si="13"/>
        <v>0.11350324074560481</v>
      </c>
      <c r="I84" s="39">
        <f t="shared" si="14"/>
        <v>0.64807406984078597</v>
      </c>
      <c r="J84" s="337">
        <f t="shared" si="15"/>
        <v>-2.3226824771636068E-3</v>
      </c>
      <c r="K84" s="39">
        <f t="shared" si="16"/>
        <v>0.24046578436239846</v>
      </c>
      <c r="L84" s="39">
        <f t="shared" si="17"/>
        <v>0.11337142475141426</v>
      </c>
      <c r="M84" s="39">
        <f t="shared" si="18"/>
        <v>0.64616144217271498</v>
      </c>
      <c r="N84" s="39">
        <f t="shared" si="19"/>
        <v>0.36858322948262445</v>
      </c>
      <c r="O84" s="39">
        <f t="shared" si="20"/>
        <v>0.15936556658726411</v>
      </c>
      <c r="P84" s="39">
        <f t="shared" si="21"/>
        <v>5.4523897154262931E-2</v>
      </c>
      <c r="Q84" s="39">
        <f t="shared" si="22"/>
        <v>0.41752460935072289</v>
      </c>
      <c r="R84" s="337">
        <f t="shared" si="23"/>
        <v>0.9999973025748744</v>
      </c>
      <c r="T84">
        <v>370</v>
      </c>
      <c r="U84">
        <v>160</v>
      </c>
      <c r="V84">
        <v>50</v>
      </c>
      <c r="W84">
        <v>420</v>
      </c>
    </row>
    <row r="85" spans="1:23" ht="21" x14ac:dyDescent="0.65">
      <c r="A85" s="52">
        <v>80</v>
      </c>
      <c r="B85" s="9" t="s">
        <v>134</v>
      </c>
      <c r="C85" s="43">
        <v>0.4</v>
      </c>
      <c r="D85" s="43">
        <v>0.11</v>
      </c>
      <c r="E85" s="43">
        <v>0.04</v>
      </c>
      <c r="F85" s="43">
        <v>0.45</v>
      </c>
      <c r="G85" s="39">
        <f t="shared" si="12"/>
        <v>0.25113405247935183</v>
      </c>
      <c r="H85" s="39">
        <f t="shared" si="13"/>
        <v>7.7511084104851413E-2</v>
      </c>
      <c r="I85" s="39">
        <f t="shared" si="14"/>
        <v>0.67082039324993692</v>
      </c>
      <c r="J85" s="337">
        <f t="shared" si="15"/>
        <v>5.3447016585983498E-4</v>
      </c>
      <c r="K85" s="39">
        <f t="shared" si="16"/>
        <v>0.25120116430869271</v>
      </c>
      <c r="L85" s="39">
        <f t="shared" si="17"/>
        <v>7.753179778584017E-2</v>
      </c>
      <c r="M85" s="39">
        <f t="shared" si="18"/>
        <v>0.67126696649087769</v>
      </c>
      <c r="N85" s="39">
        <f t="shared" si="19"/>
        <v>0.40034811203898824</v>
      </c>
      <c r="O85" s="39">
        <f t="shared" si="20"/>
        <v>0.11010024908047455</v>
      </c>
      <c r="P85" s="39">
        <f t="shared" si="21"/>
        <v>3.8952155749498348E-2</v>
      </c>
      <c r="Q85" s="39">
        <f t="shared" si="22"/>
        <v>0.4505993403018651</v>
      </c>
      <c r="R85" s="337">
        <f t="shared" si="23"/>
        <v>0.99999985717082629</v>
      </c>
      <c r="T85">
        <v>400</v>
      </c>
      <c r="U85">
        <v>110</v>
      </c>
      <c r="V85">
        <v>40</v>
      </c>
      <c r="W85">
        <v>450</v>
      </c>
    </row>
    <row r="86" spans="1:23" ht="21" x14ac:dyDescent="0.65">
      <c r="A86" s="52">
        <v>81</v>
      </c>
      <c r="B86" s="9" t="s">
        <v>135</v>
      </c>
      <c r="C86" s="43">
        <v>0.47</v>
      </c>
      <c r="D86" s="43">
        <v>0.1</v>
      </c>
      <c r="E86" s="43">
        <v>0.05</v>
      </c>
      <c r="F86" s="43">
        <v>0.38</v>
      </c>
      <c r="G86" s="39">
        <f t="shared" si="12"/>
        <v>0.30551304543239111</v>
      </c>
      <c r="H86" s="39">
        <f t="shared" si="13"/>
        <v>7.6378922730653276E-2</v>
      </c>
      <c r="I86" s="39">
        <f t="shared" si="14"/>
        <v>0.61644140029689765</v>
      </c>
      <c r="J86" s="337">
        <f t="shared" si="15"/>
        <v>1.6666315400579723E-3</v>
      </c>
      <c r="K86" s="39">
        <f t="shared" si="16"/>
        <v>0.30576763427109949</v>
      </c>
      <c r="L86" s="39">
        <f t="shared" si="17"/>
        <v>7.6442570491462553E-2</v>
      </c>
      <c r="M86" s="39">
        <f t="shared" si="18"/>
        <v>0.61778910082226535</v>
      </c>
      <c r="N86" s="39">
        <f t="shared" si="19"/>
        <v>0.47129366984153254</v>
      </c>
      <c r="O86" s="39">
        <f t="shared" si="20"/>
        <v>0.10029424036026879</v>
      </c>
      <c r="P86" s="39">
        <f t="shared" si="21"/>
        <v>4.6747327873552527E-2</v>
      </c>
      <c r="Q86" s="39">
        <f t="shared" si="22"/>
        <v>0.38166337309478315</v>
      </c>
      <c r="R86" s="337">
        <f t="shared" si="23"/>
        <v>0.999998611170137</v>
      </c>
      <c r="T86">
        <v>470</v>
      </c>
      <c r="U86">
        <v>100</v>
      </c>
      <c r="V86">
        <v>50</v>
      </c>
      <c r="W86">
        <v>380</v>
      </c>
    </row>
    <row r="87" spans="1:23" ht="21" x14ac:dyDescent="0.65">
      <c r="A87" s="52">
        <v>82</v>
      </c>
      <c r="B87" s="9" t="s">
        <v>136</v>
      </c>
      <c r="C87" s="43">
        <v>0.16</v>
      </c>
      <c r="D87" s="43">
        <v>0.21</v>
      </c>
      <c r="E87" s="43">
        <v>0</v>
      </c>
      <c r="F87" s="43">
        <v>0.62</v>
      </c>
      <c r="G87" s="39">
        <f t="shared" si="12"/>
        <v>9.577529923160355E-2</v>
      </c>
      <c r="H87" s="39">
        <f t="shared" si="13"/>
        <v>0.12364257051324878</v>
      </c>
      <c r="I87" s="39">
        <f t="shared" si="14"/>
        <v>0.78740078740118113</v>
      </c>
      <c r="J87" s="337">
        <f t="shared" si="15"/>
        <v>-6.8186571460335799E-3</v>
      </c>
      <c r="K87" s="39">
        <f t="shared" si="16"/>
        <v>9.5448769767344011E-2</v>
      </c>
      <c r="L87" s="39">
        <f t="shared" si="17"/>
        <v>0.12322103236475672</v>
      </c>
      <c r="M87" s="39">
        <f t="shared" si="18"/>
        <v>0.78131857434658036</v>
      </c>
      <c r="N87" s="39">
        <f t="shared" si="19"/>
        <v>0.15826226108561187</v>
      </c>
      <c r="O87" s="39">
        <f t="shared" si="20"/>
        <v>0.20773318549052752</v>
      </c>
      <c r="P87" s="39">
        <f t="shared" si="21"/>
        <v>2.352259189735622E-2</v>
      </c>
      <c r="Q87" s="39">
        <f t="shared" si="22"/>
        <v>0.61045871461897283</v>
      </c>
      <c r="R87" s="337">
        <f t="shared" si="23"/>
        <v>0.99997675309246836</v>
      </c>
      <c r="T87">
        <v>160</v>
      </c>
      <c r="U87">
        <v>215</v>
      </c>
      <c r="V87">
        <v>0</v>
      </c>
      <c r="W87">
        <v>625</v>
      </c>
    </row>
    <row r="88" spans="1:23" ht="21" x14ac:dyDescent="0.65">
      <c r="A88" s="52">
        <v>83</v>
      </c>
      <c r="B88" s="9" t="s">
        <v>137</v>
      </c>
      <c r="C88" s="43">
        <v>0.47</v>
      </c>
      <c r="D88" s="43">
        <v>0.1</v>
      </c>
      <c r="E88" s="43">
        <v>0.05</v>
      </c>
      <c r="F88" s="43">
        <v>0.38</v>
      </c>
      <c r="G88" s="39">
        <f t="shared" si="12"/>
        <v>0.30551304543239111</v>
      </c>
      <c r="H88" s="39">
        <f t="shared" si="13"/>
        <v>7.6378922730653276E-2</v>
      </c>
      <c r="I88" s="39">
        <f t="shared" si="14"/>
        <v>0.61644140029689765</v>
      </c>
      <c r="J88" s="337">
        <f t="shared" si="15"/>
        <v>1.6666315400579723E-3</v>
      </c>
      <c r="K88" s="39">
        <f t="shared" si="16"/>
        <v>0.30576763427109949</v>
      </c>
      <c r="L88" s="39">
        <f t="shared" si="17"/>
        <v>7.6442570491462553E-2</v>
      </c>
      <c r="M88" s="39">
        <f t="shared" si="18"/>
        <v>0.61778910082226535</v>
      </c>
      <c r="N88" s="39">
        <f t="shared" si="19"/>
        <v>0.47129366984153254</v>
      </c>
      <c r="O88" s="39">
        <f t="shared" si="20"/>
        <v>0.10029424036026879</v>
      </c>
      <c r="P88" s="39">
        <f t="shared" si="21"/>
        <v>4.6747327873552527E-2</v>
      </c>
      <c r="Q88" s="39">
        <f t="shared" si="22"/>
        <v>0.38166337309478315</v>
      </c>
      <c r="R88" s="337">
        <f t="shared" si="23"/>
        <v>0.999998611170137</v>
      </c>
      <c r="T88">
        <v>470</v>
      </c>
      <c r="U88">
        <v>100</v>
      </c>
      <c r="V88">
        <v>50</v>
      </c>
      <c r="W88">
        <v>380</v>
      </c>
    </row>
    <row r="89" spans="1:23" ht="21" x14ac:dyDescent="0.65">
      <c r="A89" s="52">
        <v>84</v>
      </c>
      <c r="B89" s="9" t="s">
        <v>138</v>
      </c>
      <c r="C89" s="43">
        <v>0.5</v>
      </c>
      <c r="D89" s="43">
        <v>7.0000000000000007E-2</v>
      </c>
      <c r="E89" s="43">
        <v>0.03</v>
      </c>
      <c r="F89" s="43">
        <v>0.4</v>
      </c>
      <c r="G89" s="39">
        <f t="shared" si="12"/>
        <v>0.31622776601683789</v>
      </c>
      <c r="H89" s="39">
        <f t="shared" si="13"/>
        <v>5.3109928006428553E-2</v>
      </c>
      <c r="I89" s="39">
        <f t="shared" si="14"/>
        <v>0.63245553203367588</v>
      </c>
      <c r="J89" s="337">
        <f t="shared" si="15"/>
        <v>-1.7932260569422098E-3</v>
      </c>
      <c r="K89" s="39">
        <f t="shared" si="16"/>
        <v>0.3159442320818629</v>
      </c>
      <c r="L89" s="39">
        <f t="shared" si="17"/>
        <v>5.3062308953036826E-2</v>
      </c>
      <c r="M89" s="39">
        <f t="shared" si="18"/>
        <v>0.63099265505017754</v>
      </c>
      <c r="N89" s="39">
        <f t="shared" si="19"/>
        <v>0.49853773748404639</v>
      </c>
      <c r="O89" s="39">
        <f t="shared" si="20"/>
        <v>6.9779463050166565E-2</v>
      </c>
      <c r="P89" s="39">
        <f t="shared" si="21"/>
        <v>3.3529460909315557E-2</v>
      </c>
      <c r="Q89" s="39">
        <f t="shared" si="22"/>
        <v>0.39815173072727233</v>
      </c>
      <c r="R89" s="337">
        <f t="shared" si="23"/>
        <v>0.99999839217080089</v>
      </c>
      <c r="T89">
        <v>500</v>
      </c>
      <c r="U89">
        <v>70</v>
      </c>
      <c r="V89">
        <v>30</v>
      </c>
      <c r="W89">
        <v>400</v>
      </c>
    </row>
    <row r="90" spans="1:23" ht="21" x14ac:dyDescent="0.65">
      <c r="A90" s="52">
        <v>85</v>
      </c>
      <c r="B90" s="9" t="s">
        <v>139</v>
      </c>
      <c r="C90" s="43">
        <v>0.3</v>
      </c>
      <c r="D90" s="43">
        <v>0.28999999999999998</v>
      </c>
      <c r="E90" s="43">
        <v>0.13</v>
      </c>
      <c r="F90" s="43">
        <v>0.28000000000000003</v>
      </c>
      <c r="G90" s="39">
        <f t="shared" si="12"/>
        <v>0.23242704837347272</v>
      </c>
      <c r="H90" s="39">
        <f t="shared" si="13"/>
        <v>0.22583318131415686</v>
      </c>
      <c r="I90" s="39">
        <f t="shared" si="14"/>
        <v>0.52915026221291817</v>
      </c>
      <c r="J90" s="337">
        <f t="shared" si="15"/>
        <v>1.2589508099452251E-2</v>
      </c>
      <c r="K90" s="39">
        <f t="shared" si="16"/>
        <v>0.23389011947748756</v>
      </c>
      <c r="L90" s="39">
        <f t="shared" si="17"/>
        <v>0.22725474564679671</v>
      </c>
      <c r="M90" s="39">
        <f t="shared" si="18"/>
        <v>0.53881551094716928</v>
      </c>
      <c r="N90" s="39">
        <f t="shared" si="19"/>
        <v>0.30675183645270726</v>
      </c>
      <c r="O90" s="39">
        <f t="shared" si="20"/>
        <v>0.2965414832006858</v>
      </c>
      <c r="P90" s="39">
        <f t="shared" si="21"/>
        <v>0.10630527922231066</v>
      </c>
      <c r="Q90" s="39">
        <f t="shared" si="22"/>
        <v>0.29032215483725909</v>
      </c>
      <c r="R90" s="337">
        <f t="shared" si="23"/>
        <v>0.99992075371296285</v>
      </c>
      <c r="T90">
        <v>300</v>
      </c>
      <c r="U90">
        <v>290</v>
      </c>
      <c r="V90">
        <v>130</v>
      </c>
      <c r="W90">
        <v>280</v>
      </c>
    </row>
    <row r="91" spans="1:23" ht="21" x14ac:dyDescent="0.65">
      <c r="A91" s="52">
        <v>86</v>
      </c>
      <c r="B91" s="9" t="s">
        <v>140</v>
      </c>
      <c r="C91" s="43">
        <v>0.22</v>
      </c>
      <c r="D91" s="43">
        <v>0.33</v>
      </c>
      <c r="E91" s="43">
        <v>0.08</v>
      </c>
      <c r="F91" s="43">
        <v>0.37</v>
      </c>
      <c r="G91" s="39">
        <f t="shared" si="12"/>
        <v>0.15983832175703894</v>
      </c>
      <c r="H91" s="39">
        <f t="shared" si="13"/>
        <v>0.22838377350425365</v>
      </c>
      <c r="I91" s="39">
        <f t="shared" si="14"/>
        <v>0.60827625302982191</v>
      </c>
      <c r="J91" s="337">
        <f t="shared" si="15"/>
        <v>3.5016517088855004E-3</v>
      </c>
      <c r="K91" s="39">
        <f t="shared" si="16"/>
        <v>0.1601181708233019</v>
      </c>
      <c r="L91" s="39">
        <f t="shared" si="17"/>
        <v>0.22878363371964008</v>
      </c>
      <c r="M91" s="39">
        <f t="shared" si="18"/>
        <v>0.61109513006588545</v>
      </c>
      <c r="N91" s="39">
        <f t="shared" si="19"/>
        <v>0.22133269747815476</v>
      </c>
      <c r="O91" s="39">
        <f t="shared" si="20"/>
        <v>0.33195907986766116</v>
      </c>
      <c r="P91" s="39">
        <f t="shared" si="21"/>
        <v>7.3264833890994127E-2</v>
      </c>
      <c r="Q91" s="39">
        <f t="shared" si="22"/>
        <v>0.37343725799024147</v>
      </c>
      <c r="R91" s="337">
        <f t="shared" si="23"/>
        <v>0.99999386922705158</v>
      </c>
      <c r="T91">
        <v>220</v>
      </c>
      <c r="U91">
        <v>330</v>
      </c>
      <c r="V91">
        <v>80</v>
      </c>
      <c r="W91">
        <v>370</v>
      </c>
    </row>
    <row r="92" spans="1:23" ht="21" x14ac:dyDescent="0.65">
      <c r="A92" s="52">
        <v>87</v>
      </c>
      <c r="B92" s="9" t="s">
        <v>141</v>
      </c>
      <c r="C92" s="43">
        <v>0.34</v>
      </c>
      <c r="D92" s="43">
        <v>0.18</v>
      </c>
      <c r="E92" s="43">
        <v>0.06</v>
      </c>
      <c r="F92" s="43">
        <v>0.43</v>
      </c>
      <c r="G92" s="39">
        <f t="shared" si="12"/>
        <v>0.22175258630901218</v>
      </c>
      <c r="H92" s="39">
        <f t="shared" si="13"/>
        <v>0.12528111516046536</v>
      </c>
      <c r="I92" s="39">
        <f t="shared" si="14"/>
        <v>0.65574385243020006</v>
      </c>
      <c r="J92" s="337">
        <f t="shared" si="15"/>
        <v>-2.7775538996777094E-3</v>
      </c>
      <c r="K92" s="39">
        <f t="shared" si="16"/>
        <v>0.22144462142857907</v>
      </c>
      <c r="L92" s="39">
        <f t="shared" si="17"/>
        <v>0.1251071276354804</v>
      </c>
      <c r="M92" s="39">
        <f t="shared" si="18"/>
        <v>0.65344632223452404</v>
      </c>
      <c r="N92" s="39">
        <f t="shared" si="19"/>
        <v>0.33844206726188963</v>
      </c>
      <c r="O92" s="39">
        <f t="shared" si="20"/>
        <v>0.17915337826266009</v>
      </c>
      <c r="P92" s="39">
        <f t="shared" si="21"/>
        <v>5.5408601034511763E-2</v>
      </c>
      <c r="Q92" s="39">
        <f t="shared" si="22"/>
        <v>0.42699209604182542</v>
      </c>
      <c r="R92" s="337">
        <f t="shared" si="23"/>
        <v>0.99999614260088687</v>
      </c>
      <c r="T92">
        <v>335</v>
      </c>
      <c r="U92">
        <v>180</v>
      </c>
      <c r="V92">
        <v>60</v>
      </c>
      <c r="W92">
        <v>425</v>
      </c>
    </row>
    <row r="93" spans="1:23" ht="21" x14ac:dyDescent="0.65">
      <c r="A93" s="52">
        <v>88</v>
      </c>
      <c r="B93" s="9" t="s">
        <v>142</v>
      </c>
      <c r="C93" s="43">
        <v>0.4</v>
      </c>
      <c r="D93" s="43">
        <v>0.18</v>
      </c>
      <c r="E93" s="43">
        <v>0.06</v>
      </c>
      <c r="F93" s="43">
        <v>0.37</v>
      </c>
      <c r="G93" s="39">
        <f t="shared" si="12"/>
        <v>0.26922018570939033</v>
      </c>
      <c r="H93" s="39">
        <f t="shared" si="13"/>
        <v>0.13334359567974441</v>
      </c>
      <c r="I93" s="39">
        <f t="shared" si="14"/>
        <v>0.60827625302982191</v>
      </c>
      <c r="J93" s="337">
        <f t="shared" si="15"/>
        <v>-1.0840034418956535E-2</v>
      </c>
      <c r="K93" s="39">
        <f t="shared" si="16"/>
        <v>0.26776100766970651</v>
      </c>
      <c r="L93" s="39">
        <f t="shared" si="17"/>
        <v>0.13262087109638648</v>
      </c>
      <c r="M93" s="39">
        <f t="shared" si="18"/>
        <v>0.59958874464735612</v>
      </c>
      <c r="N93" s="39">
        <f t="shared" si="19"/>
        <v>0.39278893013667748</v>
      </c>
      <c r="O93" s="39">
        <f t="shared" si="20"/>
        <v>0.17662425867980677</v>
      </c>
      <c r="P93" s="39">
        <f t="shared" si="21"/>
        <v>7.1021396165605405E-2</v>
      </c>
      <c r="Q93" s="39">
        <f t="shared" si="22"/>
        <v>0.35950666270779241</v>
      </c>
      <c r="R93" s="337">
        <f t="shared" si="23"/>
        <v>0.99994124768988213</v>
      </c>
      <c r="T93">
        <v>395</v>
      </c>
      <c r="U93">
        <v>180</v>
      </c>
      <c r="V93">
        <v>60</v>
      </c>
      <c r="W93">
        <v>365</v>
      </c>
    </row>
    <row r="94" spans="1:23" ht="21" x14ac:dyDescent="0.65">
      <c r="A94" s="52">
        <v>89</v>
      </c>
      <c r="B94" s="9" t="s">
        <v>143</v>
      </c>
      <c r="C94" s="43">
        <v>0.27</v>
      </c>
      <c r="D94" s="43">
        <v>0.2</v>
      </c>
      <c r="E94" s="43">
        <v>0.04</v>
      </c>
      <c r="F94" s="43">
        <v>0.49</v>
      </c>
      <c r="G94" s="39">
        <f t="shared" si="12"/>
        <v>0.17177978870813471</v>
      </c>
      <c r="H94" s="39">
        <f t="shared" si="13"/>
        <v>0.13066238629180749</v>
      </c>
      <c r="I94" s="39">
        <f t="shared" si="14"/>
        <v>0.7</v>
      </c>
      <c r="J94" s="337">
        <f t="shared" si="15"/>
        <v>-2.4421749999421483E-3</v>
      </c>
      <c r="K94" s="39">
        <f t="shared" si="16"/>
        <v>0.17157003055539552</v>
      </c>
      <c r="L94" s="39">
        <f t="shared" si="17"/>
        <v>0.13050283608519017</v>
      </c>
      <c r="M94" s="39">
        <f t="shared" si="18"/>
        <v>0.69792564230473175</v>
      </c>
      <c r="N94" s="39">
        <f t="shared" si="19"/>
        <v>0.2689225229360131</v>
      </c>
      <c r="O94" s="39">
        <f t="shared" si="20"/>
        <v>0.19919354162096897</v>
      </c>
      <c r="P94" s="39">
        <f t="shared" si="21"/>
        <v>4.4780751149403698E-2</v>
      </c>
      <c r="Q94" s="39">
        <f t="shared" si="22"/>
        <v>0.48710020218647238</v>
      </c>
      <c r="R94" s="337">
        <f t="shared" si="23"/>
        <v>0.99999701789285811</v>
      </c>
      <c r="T94">
        <v>270</v>
      </c>
      <c r="U94">
        <v>200</v>
      </c>
      <c r="V94">
        <v>40</v>
      </c>
      <c r="W94">
        <v>490</v>
      </c>
    </row>
    <row r="95" spans="1:23" ht="21" x14ac:dyDescent="0.65">
      <c r="A95" s="52">
        <v>90</v>
      </c>
      <c r="B95" s="9" t="s">
        <v>144</v>
      </c>
      <c r="C95" s="43">
        <v>0.4</v>
      </c>
      <c r="D95" s="43">
        <v>0.11</v>
      </c>
      <c r="E95" s="43">
        <v>0.04</v>
      </c>
      <c r="F95" s="43">
        <v>0.45</v>
      </c>
      <c r="G95" s="39">
        <f t="shared" si="12"/>
        <v>0.25113405247935183</v>
      </c>
      <c r="H95" s="39">
        <f t="shared" si="13"/>
        <v>7.7511084104851413E-2</v>
      </c>
      <c r="I95" s="39">
        <f t="shared" si="14"/>
        <v>0.67082039324993692</v>
      </c>
      <c r="J95" s="337">
        <f t="shared" si="15"/>
        <v>5.3447016585983498E-4</v>
      </c>
      <c r="K95" s="39">
        <f t="shared" si="16"/>
        <v>0.25120116430869271</v>
      </c>
      <c r="L95" s="39">
        <f t="shared" si="17"/>
        <v>7.753179778584017E-2</v>
      </c>
      <c r="M95" s="39">
        <f t="shared" si="18"/>
        <v>0.67126696649087769</v>
      </c>
      <c r="N95" s="39">
        <f t="shared" si="19"/>
        <v>0.40034811203898824</v>
      </c>
      <c r="O95" s="39">
        <f t="shared" si="20"/>
        <v>0.11010024908047455</v>
      </c>
      <c r="P95" s="39">
        <f t="shared" si="21"/>
        <v>3.8952155749498348E-2</v>
      </c>
      <c r="Q95" s="39">
        <f t="shared" si="22"/>
        <v>0.4505993403018651</v>
      </c>
      <c r="R95" s="337">
        <f t="shared" si="23"/>
        <v>0.99999985717082629</v>
      </c>
      <c r="T95">
        <v>400</v>
      </c>
      <c r="U95">
        <v>110</v>
      </c>
      <c r="V95">
        <v>40</v>
      </c>
      <c r="W95">
        <v>450</v>
      </c>
    </row>
    <row r="96" spans="1:23" ht="21" x14ac:dyDescent="0.65">
      <c r="A96" s="52">
        <v>91</v>
      </c>
      <c r="B96" s="9" t="s">
        <v>145</v>
      </c>
      <c r="C96" s="43">
        <v>0.22</v>
      </c>
      <c r="D96" s="43">
        <v>0.3</v>
      </c>
      <c r="E96" s="43">
        <v>0.05</v>
      </c>
      <c r="F96" s="43">
        <v>0.42</v>
      </c>
      <c r="G96" s="39">
        <f t="shared" si="12"/>
        <v>0.15192593015921407</v>
      </c>
      <c r="H96" s="39">
        <f t="shared" si="13"/>
        <v>0.20045406758307105</v>
      </c>
      <c r="I96" s="39">
        <f t="shared" si="14"/>
        <v>0.64807406984078597</v>
      </c>
      <c r="J96" s="337">
        <f t="shared" si="15"/>
        <v>-4.5406758307109385E-4</v>
      </c>
      <c r="K96" s="39">
        <f t="shared" si="16"/>
        <v>0.15189143783925746</v>
      </c>
      <c r="L96" s="39">
        <f t="shared" si="17"/>
        <v>0.20040855773607893</v>
      </c>
      <c r="M96" s="39">
        <f t="shared" si="18"/>
        <v>0.64769995288032112</v>
      </c>
      <c r="N96" s="39">
        <f t="shared" si="19"/>
        <v>0.21983116315169957</v>
      </c>
      <c r="O96" s="39">
        <f t="shared" si="20"/>
        <v>0.29977281681879814</v>
      </c>
      <c r="P96" s="39">
        <f t="shared" si="21"/>
        <v>6.0880687979649746E-2</v>
      </c>
      <c r="Q96" s="39">
        <f t="shared" si="22"/>
        <v>0.41951522896117022</v>
      </c>
      <c r="R96" s="337">
        <f t="shared" si="23"/>
        <v>0.99999989691131763</v>
      </c>
      <c r="T96">
        <v>225</v>
      </c>
      <c r="U96">
        <v>300</v>
      </c>
      <c r="V96">
        <v>50</v>
      </c>
      <c r="W96">
        <v>425</v>
      </c>
    </row>
    <row r="97" spans="1:23" ht="21" x14ac:dyDescent="0.65">
      <c r="A97" s="52">
        <v>92</v>
      </c>
      <c r="B97" s="9" t="s">
        <v>146</v>
      </c>
      <c r="C97" s="332">
        <v>0.26993865030674846</v>
      </c>
      <c r="D97" s="332">
        <v>0.16564417177914109</v>
      </c>
      <c r="E97" s="332">
        <v>2.4539877300613498E-2</v>
      </c>
      <c r="F97" s="332">
        <v>0.53987730061349692</v>
      </c>
      <c r="G97" s="39">
        <f t="shared" si="12"/>
        <v>0.16513431296829617</v>
      </c>
      <c r="H97" s="39">
        <f t="shared" si="13"/>
        <v>0.10518982434199697</v>
      </c>
      <c r="I97" s="39">
        <f t="shared" si="14"/>
        <v>0.73476343173398129</v>
      </c>
      <c r="J97" s="337">
        <f t="shared" si="15"/>
        <v>-5.0875690442744315E-3</v>
      </c>
      <c r="K97" s="39">
        <f t="shared" si="16"/>
        <v>0.16471424685889366</v>
      </c>
      <c r="L97" s="39">
        <f t="shared" si="17"/>
        <v>0.10492224409494946</v>
      </c>
      <c r="M97" s="39">
        <f t="shared" si="18"/>
        <v>0.73035703820646181</v>
      </c>
      <c r="N97" s="39">
        <f t="shared" si="19"/>
        <v>0.26773120209083168</v>
      </c>
      <c r="O97" s="39">
        <f t="shared" si="20"/>
        <v>0.16427007618424558</v>
      </c>
      <c r="P97" s="39">
        <f t="shared" si="21"/>
        <v>3.4564376829689207E-2</v>
      </c>
      <c r="Q97" s="39">
        <f t="shared" si="22"/>
        <v>0.53342140325771514</v>
      </c>
      <c r="R97" s="337">
        <f t="shared" si="23"/>
        <v>0.9999870583624817</v>
      </c>
      <c r="T97">
        <v>270</v>
      </c>
      <c r="U97">
        <v>165</v>
      </c>
      <c r="V97">
        <v>25</v>
      </c>
      <c r="W97">
        <v>540</v>
      </c>
    </row>
    <row r="98" spans="1:23" ht="18" x14ac:dyDescent="0.55000000000000004">
      <c r="A98" s="52"/>
    </row>
  </sheetData>
  <mergeCells count="6">
    <mergeCell ref="K3:Q3"/>
    <mergeCell ref="T5:W5"/>
    <mergeCell ref="C4:F4"/>
    <mergeCell ref="G4:I4"/>
    <mergeCell ref="K4:M4"/>
    <mergeCell ref="N4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888B-04DE-40E9-9ABE-B59C7F7EC2F5}">
  <sheetPr>
    <tabColor rgb="FF00B0F0"/>
  </sheetPr>
  <dimension ref="B1:M48"/>
  <sheetViews>
    <sheetView topLeftCell="E1" workbookViewId="0">
      <pane ySplit="2" topLeftCell="A3" activePane="bottomLeft" state="frozen"/>
      <selection pane="bottomLeft" activeCell="C51" sqref="C51"/>
    </sheetView>
  </sheetViews>
  <sheetFormatPr defaultRowHeight="14.25" x14ac:dyDescent="0.45"/>
  <cols>
    <col min="1" max="1" width="2.53125" customWidth="1"/>
    <col min="2" max="2" width="9.46484375" bestFit="1" customWidth="1"/>
    <col min="3" max="4" width="10.73046875" customWidth="1"/>
    <col min="5" max="5" width="2.73046875" customWidth="1"/>
    <col min="7" max="8" width="10.73046875" customWidth="1"/>
    <col min="9" max="9" width="2.73046875" customWidth="1"/>
    <col min="11" max="12" width="10.73046875" customWidth="1"/>
  </cols>
  <sheetData>
    <row r="1" spans="2:13" x14ac:dyDescent="0.45">
      <c r="B1" s="400" t="s">
        <v>286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2:13" s="3" customFormat="1" ht="21.4" thickBot="1" x14ac:dyDescent="0.7">
      <c r="B2" s="76" t="s">
        <v>218</v>
      </c>
      <c r="C2" s="76"/>
      <c r="D2" s="76"/>
      <c r="E2" s="71"/>
      <c r="F2" s="71"/>
      <c r="G2" s="71"/>
      <c r="H2" s="71"/>
      <c r="I2" s="71"/>
      <c r="J2" s="71"/>
      <c r="K2" s="71"/>
      <c r="L2" s="71"/>
      <c r="M2" s="4"/>
    </row>
    <row r="3" spans="2:13" s="3" customFormat="1" ht="21.4" thickBot="1" x14ac:dyDescent="0.7">
      <c r="B3" s="15"/>
      <c r="C3" s="434" t="s">
        <v>39</v>
      </c>
      <c r="D3" s="435"/>
      <c r="F3" s="15"/>
      <c r="G3" s="434" t="s">
        <v>44</v>
      </c>
      <c r="H3" s="435"/>
      <c r="J3" s="15"/>
      <c r="K3" s="434" t="s">
        <v>42</v>
      </c>
      <c r="L3" s="435"/>
    </row>
    <row r="4" spans="2:13" s="37" customFormat="1" ht="18.399999999999999" thickBot="1" x14ac:dyDescent="0.6">
      <c r="B4" s="78"/>
      <c r="C4" s="5" t="s">
        <v>33</v>
      </c>
      <c r="D4" s="6" t="s">
        <v>34</v>
      </c>
      <c r="E4" s="45"/>
      <c r="F4" s="78"/>
      <c r="G4" s="5" t="s">
        <v>33</v>
      </c>
      <c r="H4" s="6" t="s">
        <v>34</v>
      </c>
      <c r="J4" s="78"/>
      <c r="K4" s="5" t="s">
        <v>41</v>
      </c>
      <c r="L4" s="6" t="s">
        <v>24</v>
      </c>
    </row>
    <row r="5" spans="2:13" s="37" customFormat="1" ht="18" x14ac:dyDescent="0.55000000000000004">
      <c r="B5" s="78"/>
      <c r="C5" s="324">
        <v>7.2</v>
      </c>
      <c r="D5" s="328">
        <v>8.8000000000000007</v>
      </c>
      <c r="F5" s="78"/>
      <c r="G5" s="324">
        <v>7.2</v>
      </c>
      <c r="H5" s="328">
        <v>8.8000000000000007</v>
      </c>
      <c r="J5" s="78"/>
      <c r="K5" s="324">
        <v>4.0199999999999996</v>
      </c>
      <c r="L5" s="330">
        <v>3.02</v>
      </c>
    </row>
    <row r="6" spans="2:13" s="37" customFormat="1" ht="18" x14ac:dyDescent="0.55000000000000004">
      <c r="B6" s="78"/>
      <c r="C6" s="326">
        <v>7.1</v>
      </c>
      <c r="D6" s="329">
        <v>7.5</v>
      </c>
      <c r="F6" s="78"/>
      <c r="G6" s="326">
        <v>7.1</v>
      </c>
      <c r="H6" s="329">
        <v>7.5</v>
      </c>
      <c r="J6" s="78"/>
      <c r="K6" s="326">
        <v>3.88</v>
      </c>
      <c r="L6" s="94"/>
    </row>
    <row r="7" spans="2:13" s="37" customFormat="1" ht="18" x14ac:dyDescent="0.55000000000000004">
      <c r="B7" s="78"/>
      <c r="C7" s="326">
        <v>9.1</v>
      </c>
      <c r="D7" s="329">
        <v>7.7</v>
      </c>
      <c r="F7" s="78"/>
      <c r="G7" s="326">
        <v>9.1</v>
      </c>
      <c r="H7" s="329">
        <v>7.7</v>
      </c>
      <c r="J7" s="78"/>
      <c r="K7" s="326">
        <v>3.34</v>
      </c>
      <c r="L7" s="94"/>
    </row>
    <row r="8" spans="2:13" s="37" customFormat="1" ht="18" x14ac:dyDescent="0.55000000000000004">
      <c r="B8" s="78"/>
      <c r="C8" s="326">
        <v>7.2</v>
      </c>
      <c r="D8" s="329">
        <v>7.6</v>
      </c>
      <c r="F8" s="78"/>
      <c r="G8" s="326">
        <v>7.2</v>
      </c>
      <c r="H8" s="329">
        <v>7.6</v>
      </c>
      <c r="J8" s="78"/>
      <c r="K8" s="326">
        <v>3.87</v>
      </c>
      <c r="L8" s="94"/>
    </row>
    <row r="9" spans="2:13" s="37" customFormat="1" ht="18" x14ac:dyDescent="0.55000000000000004">
      <c r="B9" s="78"/>
      <c r="C9" s="326">
        <v>7.3</v>
      </c>
      <c r="D9" s="329">
        <v>7.4</v>
      </c>
      <c r="F9" s="78"/>
      <c r="G9" s="326">
        <v>7.3</v>
      </c>
      <c r="H9" s="329">
        <v>7.4</v>
      </c>
      <c r="J9" s="78"/>
      <c r="K9" s="326">
        <v>3.18</v>
      </c>
      <c r="L9" s="94"/>
    </row>
    <row r="10" spans="2:13" s="37" customFormat="1" ht="18" x14ac:dyDescent="0.55000000000000004">
      <c r="B10" s="78"/>
      <c r="C10" s="326">
        <v>7.2</v>
      </c>
      <c r="D10" s="329">
        <v>6.7</v>
      </c>
      <c r="F10" s="78"/>
      <c r="G10" s="326">
        <v>7.2</v>
      </c>
      <c r="H10" s="329">
        <v>6.7</v>
      </c>
      <c r="J10" s="78"/>
      <c r="K10" s="326"/>
      <c r="L10" s="94"/>
    </row>
    <row r="11" spans="2:13" s="37" customFormat="1" ht="18" x14ac:dyDescent="0.55000000000000004">
      <c r="B11" s="78"/>
      <c r="C11" s="326">
        <v>7.5</v>
      </c>
      <c r="D11" s="329">
        <v>7.2</v>
      </c>
      <c r="F11" s="78"/>
      <c r="G11" s="326">
        <v>7.5</v>
      </c>
      <c r="H11" s="329">
        <v>7.2</v>
      </c>
      <c r="J11" s="78"/>
      <c r="K11" s="326"/>
      <c r="L11" s="94"/>
    </row>
    <row r="12" spans="2:13" s="37" customFormat="1" ht="18" x14ac:dyDescent="0.55000000000000004">
      <c r="B12" s="78"/>
      <c r="C12" s="35"/>
      <c r="D12" s="82"/>
      <c r="F12" s="78"/>
      <c r="G12" s="326">
        <v>7.4</v>
      </c>
      <c r="H12" s="329"/>
      <c r="J12" s="78"/>
      <c r="K12" s="326"/>
      <c r="L12" s="94"/>
    </row>
    <row r="13" spans="2:13" s="37" customFormat="1" ht="18" hidden="1" x14ac:dyDescent="0.55000000000000004">
      <c r="B13" s="78"/>
      <c r="C13" s="35"/>
      <c r="D13" s="82"/>
      <c r="F13" s="78"/>
      <c r="G13" s="35"/>
      <c r="H13" s="82"/>
      <c r="J13" s="78"/>
      <c r="K13" s="35"/>
      <c r="L13" s="94"/>
    </row>
    <row r="14" spans="2:13" s="37" customFormat="1" ht="18" hidden="1" x14ac:dyDescent="0.55000000000000004">
      <c r="B14" s="78"/>
      <c r="C14" s="35"/>
      <c r="D14" s="82"/>
      <c r="F14" s="78"/>
      <c r="G14" s="35"/>
      <c r="H14" s="82"/>
      <c r="J14" s="78"/>
      <c r="K14" s="35"/>
      <c r="L14" s="94"/>
    </row>
    <row r="15" spans="2:13" s="37" customFormat="1" ht="18" hidden="1" x14ac:dyDescent="0.55000000000000004">
      <c r="B15" s="78"/>
      <c r="C15" s="35"/>
      <c r="D15" s="82"/>
      <c r="F15" s="78"/>
      <c r="G15" s="35"/>
      <c r="H15" s="82"/>
      <c r="J15" s="78"/>
      <c r="K15" s="35"/>
      <c r="L15" s="94"/>
    </row>
    <row r="16" spans="2:13" s="37" customFormat="1" ht="18" hidden="1" x14ac:dyDescent="0.55000000000000004">
      <c r="B16" s="78"/>
      <c r="C16" s="35"/>
      <c r="D16" s="82"/>
      <c r="F16" s="78"/>
      <c r="G16" s="35"/>
      <c r="H16" s="82"/>
      <c r="J16" s="78"/>
      <c r="K16" s="35"/>
      <c r="L16" s="94"/>
    </row>
    <row r="17" spans="2:12" s="37" customFormat="1" ht="18" hidden="1" x14ac:dyDescent="0.55000000000000004">
      <c r="B17" s="78"/>
      <c r="C17" s="35"/>
      <c r="D17" s="82"/>
      <c r="F17" s="78"/>
      <c r="G17" s="35"/>
      <c r="H17" s="82"/>
      <c r="J17" s="78"/>
      <c r="K17" s="35"/>
      <c r="L17" s="94"/>
    </row>
    <row r="18" spans="2:12" s="37" customFormat="1" ht="18" hidden="1" x14ac:dyDescent="0.55000000000000004">
      <c r="B18" s="78"/>
      <c r="C18" s="35"/>
      <c r="D18" s="82"/>
      <c r="F18" s="78"/>
      <c r="G18" s="35"/>
      <c r="H18" s="82"/>
      <c r="J18" s="78"/>
      <c r="K18" s="35"/>
      <c r="L18" s="94"/>
    </row>
    <row r="19" spans="2:12" s="37" customFormat="1" ht="18" hidden="1" x14ac:dyDescent="0.55000000000000004">
      <c r="B19" s="78"/>
      <c r="C19" s="35"/>
      <c r="D19" s="82"/>
      <c r="F19" s="78"/>
      <c r="G19" s="35"/>
      <c r="H19" s="82"/>
      <c r="J19" s="78"/>
      <c r="K19" s="35"/>
      <c r="L19" s="94"/>
    </row>
    <row r="20" spans="2:12" s="37" customFormat="1" ht="18" hidden="1" x14ac:dyDescent="0.55000000000000004">
      <c r="B20" s="78"/>
      <c r="C20" s="35"/>
      <c r="D20" s="82"/>
      <c r="F20" s="78"/>
      <c r="G20" s="35"/>
      <c r="H20" s="82"/>
      <c r="J20" s="78"/>
      <c r="K20" s="35"/>
      <c r="L20" s="94"/>
    </row>
    <row r="21" spans="2:12" s="37" customFormat="1" ht="18" hidden="1" x14ac:dyDescent="0.55000000000000004">
      <c r="B21" s="78"/>
      <c r="C21" s="35"/>
      <c r="D21" s="82"/>
      <c r="F21" s="78"/>
      <c r="G21" s="35"/>
      <c r="H21" s="82"/>
      <c r="J21" s="78"/>
      <c r="K21" s="35"/>
      <c r="L21" s="94"/>
    </row>
    <row r="22" spans="2:12" s="37" customFormat="1" ht="18" hidden="1" x14ac:dyDescent="0.55000000000000004">
      <c r="B22" s="78"/>
      <c r="C22" s="35"/>
      <c r="D22" s="82"/>
      <c r="F22" s="78"/>
      <c r="G22" s="35"/>
      <c r="H22" s="82"/>
      <c r="J22" s="78"/>
      <c r="K22" s="35"/>
      <c r="L22" s="94"/>
    </row>
    <row r="23" spans="2:12" s="37" customFormat="1" ht="18" hidden="1" x14ac:dyDescent="0.55000000000000004">
      <c r="B23" s="78"/>
      <c r="C23" s="35"/>
      <c r="D23" s="82"/>
      <c r="F23" s="78"/>
      <c r="G23" s="35"/>
      <c r="H23" s="82"/>
      <c r="J23" s="78"/>
      <c r="K23" s="35"/>
      <c r="L23" s="94"/>
    </row>
    <row r="24" spans="2:12" s="37" customFormat="1" ht="18" hidden="1" x14ac:dyDescent="0.55000000000000004">
      <c r="B24" s="78"/>
      <c r="C24" s="35"/>
      <c r="D24" s="82"/>
      <c r="F24" s="78"/>
      <c r="G24" s="35"/>
      <c r="H24" s="82"/>
      <c r="J24" s="78"/>
      <c r="K24" s="35"/>
      <c r="L24" s="94"/>
    </row>
    <row r="25" spans="2:12" s="37" customFormat="1" ht="18" hidden="1" x14ac:dyDescent="0.55000000000000004">
      <c r="B25" s="78"/>
      <c r="C25" s="35"/>
      <c r="D25" s="82"/>
      <c r="F25" s="78"/>
      <c r="G25" s="35"/>
      <c r="H25" s="82"/>
      <c r="J25" s="78"/>
      <c r="K25" s="35"/>
      <c r="L25" s="94"/>
    </row>
    <row r="26" spans="2:12" s="37" customFormat="1" ht="18" hidden="1" x14ac:dyDescent="0.55000000000000004">
      <c r="B26" s="78"/>
      <c r="C26" s="35"/>
      <c r="D26" s="82"/>
      <c r="F26" s="78"/>
      <c r="G26" s="35"/>
      <c r="H26" s="82"/>
      <c r="J26" s="78"/>
      <c r="K26" s="35"/>
      <c r="L26" s="94"/>
    </row>
    <row r="27" spans="2:12" s="37" customFormat="1" ht="18" hidden="1" x14ac:dyDescent="0.55000000000000004">
      <c r="B27" s="78"/>
      <c r="C27" s="35"/>
      <c r="D27" s="82"/>
      <c r="F27" s="78"/>
      <c r="G27" s="35"/>
      <c r="H27" s="82"/>
      <c r="J27" s="78"/>
      <c r="K27" s="35"/>
      <c r="L27" s="94"/>
    </row>
    <row r="28" spans="2:12" s="37" customFormat="1" ht="18" hidden="1" x14ac:dyDescent="0.55000000000000004">
      <c r="B28" s="78"/>
      <c r="C28" s="35"/>
      <c r="D28" s="82"/>
      <c r="F28" s="78"/>
      <c r="G28" s="35"/>
      <c r="H28" s="82"/>
      <c r="J28" s="78"/>
      <c r="K28" s="35"/>
      <c r="L28" s="94"/>
    </row>
    <row r="29" spans="2:12" s="37" customFormat="1" ht="18" hidden="1" x14ac:dyDescent="0.55000000000000004">
      <c r="B29" s="78"/>
      <c r="C29" s="35"/>
      <c r="D29" s="82"/>
      <c r="F29" s="78"/>
      <c r="G29" s="35"/>
      <c r="H29" s="82"/>
      <c r="J29" s="78"/>
      <c r="K29" s="35"/>
      <c r="L29" s="94"/>
    </row>
    <row r="30" spans="2:12" s="37" customFormat="1" ht="18" hidden="1" x14ac:dyDescent="0.55000000000000004">
      <c r="B30" s="78"/>
      <c r="C30" s="35"/>
      <c r="D30" s="82"/>
      <c r="F30" s="78"/>
      <c r="G30" s="35"/>
      <c r="H30" s="82"/>
      <c r="J30" s="78"/>
      <c r="K30" s="35"/>
      <c r="L30" s="94"/>
    </row>
    <row r="31" spans="2:12" s="37" customFormat="1" ht="18" hidden="1" x14ac:dyDescent="0.55000000000000004">
      <c r="B31" s="78"/>
      <c r="C31" s="35"/>
      <c r="D31" s="82"/>
      <c r="F31" s="78"/>
      <c r="G31" s="35"/>
      <c r="H31" s="82"/>
      <c r="J31" s="78"/>
      <c r="K31" s="35"/>
      <c r="L31" s="94"/>
    </row>
    <row r="32" spans="2:12" s="37" customFormat="1" ht="18" hidden="1" x14ac:dyDescent="0.55000000000000004">
      <c r="B32" s="78"/>
      <c r="C32" s="35"/>
      <c r="D32" s="82"/>
      <c r="F32" s="78"/>
      <c r="G32" s="35"/>
      <c r="H32" s="82"/>
      <c r="J32" s="78"/>
      <c r="K32" s="35"/>
      <c r="L32" s="94"/>
    </row>
    <row r="33" spans="2:13" s="37" customFormat="1" ht="18" hidden="1" x14ac:dyDescent="0.55000000000000004">
      <c r="B33" s="78"/>
      <c r="C33" s="35"/>
      <c r="D33" s="82"/>
      <c r="F33" s="78"/>
      <c r="G33" s="35"/>
      <c r="H33" s="82"/>
      <c r="J33" s="78"/>
      <c r="K33" s="35"/>
      <c r="L33" s="94"/>
    </row>
    <row r="34" spans="2:13" s="37" customFormat="1" ht="18" hidden="1" x14ac:dyDescent="0.55000000000000004">
      <c r="B34" s="78"/>
      <c r="C34" s="35"/>
      <c r="D34" s="82"/>
      <c r="F34" s="78"/>
      <c r="G34" s="35"/>
      <c r="H34" s="82"/>
      <c r="J34" s="78"/>
      <c r="K34" s="35"/>
      <c r="L34" s="94"/>
    </row>
    <row r="35" spans="2:13" s="37" customFormat="1" ht="18" hidden="1" x14ac:dyDescent="0.55000000000000004">
      <c r="B35" s="78"/>
      <c r="C35" s="35"/>
      <c r="D35" s="82"/>
      <c r="F35" s="78"/>
      <c r="G35" s="35"/>
      <c r="H35" s="82"/>
      <c r="J35" s="78"/>
      <c r="K35" s="35"/>
      <c r="L35" s="94"/>
    </row>
    <row r="36" spans="2:13" s="37" customFormat="1" ht="18" hidden="1" x14ac:dyDescent="0.55000000000000004">
      <c r="B36" s="78"/>
      <c r="C36" s="35"/>
      <c r="D36" s="82"/>
      <c r="F36" s="78"/>
      <c r="G36" s="35"/>
      <c r="H36" s="82"/>
      <c r="J36" s="78"/>
      <c r="K36" s="35"/>
      <c r="L36" s="94"/>
    </row>
    <row r="37" spans="2:13" s="37" customFormat="1" ht="18" hidden="1" x14ac:dyDescent="0.55000000000000004">
      <c r="B37" s="78"/>
      <c r="C37" s="35"/>
      <c r="D37" s="82"/>
      <c r="F37" s="78"/>
      <c r="G37" s="35"/>
      <c r="H37" s="82"/>
      <c r="J37" s="78"/>
      <c r="K37" s="35"/>
      <c r="L37" s="94"/>
    </row>
    <row r="38" spans="2:13" s="37" customFormat="1" ht="18" hidden="1" x14ac:dyDescent="0.55000000000000004">
      <c r="B38" s="78"/>
      <c r="C38" s="35"/>
      <c r="D38" s="82"/>
      <c r="F38" s="78"/>
      <c r="G38" s="35"/>
      <c r="H38" s="82"/>
      <c r="J38" s="78"/>
      <c r="K38" s="35"/>
      <c r="L38" s="94"/>
    </row>
    <row r="39" spans="2:13" s="37" customFormat="1" ht="18" x14ac:dyDescent="0.55000000000000004">
      <c r="B39" s="78"/>
      <c r="C39" s="35"/>
      <c r="D39" s="82"/>
      <c r="F39" s="78"/>
      <c r="G39" s="35"/>
      <c r="H39" s="82"/>
      <c r="J39" s="78"/>
      <c r="K39" s="35"/>
      <c r="L39" s="94"/>
    </row>
    <row r="40" spans="2:13" s="37" customFormat="1" ht="18" x14ac:dyDescent="0.55000000000000004">
      <c r="B40" s="83" t="s">
        <v>35</v>
      </c>
      <c r="C40" s="38">
        <f>COUNT(C5:C12)</f>
        <v>7</v>
      </c>
      <c r="D40" s="82">
        <f>COUNT(D5:D12)</f>
        <v>7</v>
      </c>
      <c r="F40" s="83" t="s">
        <v>35</v>
      </c>
      <c r="G40" s="38">
        <f>COUNT(G5:G12)</f>
        <v>8</v>
      </c>
      <c r="H40" s="82">
        <f>COUNT(H5:H12)</f>
        <v>7</v>
      </c>
      <c r="J40" s="83" t="s">
        <v>35</v>
      </c>
      <c r="K40" s="38">
        <f>COUNT(K5:K12)</f>
        <v>5</v>
      </c>
      <c r="L40" s="236">
        <f>COUNT(L5:L12)</f>
        <v>1</v>
      </c>
    </row>
    <row r="41" spans="2:13" s="37" customFormat="1" ht="18" x14ac:dyDescent="0.55000000000000004">
      <c r="B41" s="83" t="s">
        <v>25</v>
      </c>
      <c r="C41" s="38">
        <f>SUM(C5:C39)</f>
        <v>52.6</v>
      </c>
      <c r="D41" s="82">
        <f>SUM(D5:D39)</f>
        <v>52.900000000000006</v>
      </c>
      <c r="F41" s="83" t="s">
        <v>25</v>
      </c>
      <c r="G41" s="38">
        <f>SUM(G5:G39)</f>
        <v>60</v>
      </c>
      <c r="H41" s="82">
        <f>SUM(H5:H39)</f>
        <v>52.900000000000006</v>
      </c>
      <c r="J41" s="83" t="s">
        <v>25</v>
      </c>
      <c r="K41" s="38">
        <f>SUM(K5:K39)</f>
        <v>18.29</v>
      </c>
      <c r="L41" s="82">
        <f>SUM(L5:L39)</f>
        <v>3.02</v>
      </c>
    </row>
    <row r="42" spans="2:13" s="37" customFormat="1" ht="18" x14ac:dyDescent="0.55000000000000004">
      <c r="B42" s="83" t="s">
        <v>36</v>
      </c>
      <c r="C42" s="84">
        <f>C41/C40</f>
        <v>7.5142857142857142</v>
      </c>
      <c r="D42" s="85">
        <f>D41/D40</f>
        <v>7.5571428571428578</v>
      </c>
      <c r="F42" s="83" t="s">
        <v>36</v>
      </c>
      <c r="G42" s="84">
        <f>G41/G40</f>
        <v>7.5</v>
      </c>
      <c r="H42" s="85">
        <f>H41/H40</f>
        <v>7.5571428571428578</v>
      </c>
      <c r="J42" s="83" t="s">
        <v>36</v>
      </c>
      <c r="K42" s="95">
        <f>K41/K40</f>
        <v>3.6579999999999999</v>
      </c>
      <c r="L42" s="77">
        <f>L41/L40</f>
        <v>3.02</v>
      </c>
    </row>
    <row r="43" spans="2:13" s="37" customFormat="1" ht="18" x14ac:dyDescent="0.55000000000000004">
      <c r="B43" s="83" t="s">
        <v>37</v>
      </c>
      <c r="C43" s="84">
        <f>_xlfn.STDEV.S(C5:C39)</f>
        <v>0.71046597720221949</v>
      </c>
      <c r="D43" s="85">
        <f>_xlfn.STDEV.S(D5:D39)</f>
        <v>0.63994047342218452</v>
      </c>
      <c r="F43" s="83" t="s">
        <v>37</v>
      </c>
      <c r="G43" s="84">
        <f>_xlfn.STDEV.S(G5:G39)</f>
        <v>0.659003576838331</v>
      </c>
      <c r="H43" s="85">
        <f>_xlfn.STDEV.S(H5:H39)</f>
        <v>0.63994047342218452</v>
      </c>
      <c r="J43" s="83" t="s">
        <v>37</v>
      </c>
      <c r="K43" s="95">
        <f>_xlfn.STDEV.S(K5:K39)</f>
        <v>0.3724513391035128</v>
      </c>
      <c r="L43" s="77"/>
    </row>
    <row r="44" spans="2:13" ht="18" x14ac:dyDescent="0.55000000000000004">
      <c r="B44" s="91"/>
      <c r="C44" s="92"/>
      <c r="D44" s="87"/>
      <c r="F44" s="78"/>
      <c r="G44" s="38"/>
      <c r="H44" s="82"/>
      <c r="J44" s="91"/>
      <c r="K44" s="92"/>
      <c r="L44" s="87"/>
    </row>
    <row r="45" spans="2:13" ht="18" x14ac:dyDescent="0.55000000000000004">
      <c r="B45" s="270" t="s">
        <v>38</v>
      </c>
      <c r="C45" s="86">
        <f>(C42-D42) / SQRT((C43^2+D43^2)/((C40+D40)/2))</f>
        <v>-0.11858541225631625</v>
      </c>
      <c r="D45" s="82"/>
      <c r="E45" s="37"/>
      <c r="F45" s="199" t="s">
        <v>224</v>
      </c>
      <c r="G45" s="86">
        <f>(G42-H42) / SQRT((((G40+1)*G43^2 + (H40-1)*H43^2))/(G40+H40-2) * ((G40+H40)/(G40*H40)))</f>
        <v>-0.15778235735354348</v>
      </c>
      <c r="H45" s="82"/>
      <c r="I45" s="37"/>
      <c r="J45" s="270" t="s">
        <v>38</v>
      </c>
      <c r="K45" s="86">
        <f>(K42-L42) / ((K43) * SQRT((K40+1)/K40))</f>
        <v>1.5637254901960789</v>
      </c>
      <c r="L45" s="82"/>
      <c r="M45" s="34"/>
    </row>
    <row r="46" spans="2:13" ht="21.4" thickBot="1" x14ac:dyDescent="0.7">
      <c r="B46" s="93" t="s">
        <v>40</v>
      </c>
      <c r="C46" s="89">
        <f>(C40+D40) - 2</f>
        <v>12</v>
      </c>
      <c r="D46" s="90"/>
      <c r="F46" s="88" t="s">
        <v>23</v>
      </c>
      <c r="G46" s="89">
        <f xml:space="preserve"> G40 + H40 - 2</f>
        <v>13</v>
      </c>
      <c r="H46" s="90"/>
      <c r="J46" s="93" t="s">
        <v>40</v>
      </c>
      <c r="K46" s="89">
        <f>(K40+L40) - 2</f>
        <v>4</v>
      </c>
      <c r="L46" s="90"/>
    </row>
    <row r="47" spans="2:13" x14ac:dyDescent="0.45">
      <c r="J47" s="96"/>
      <c r="K47" s="97"/>
      <c r="L47" s="98"/>
    </row>
    <row r="48" spans="2:13" s="31" customFormat="1" ht="18.399999999999999" thickBot="1" x14ac:dyDescent="0.6">
      <c r="B48" s="31" t="s">
        <v>219</v>
      </c>
      <c r="J48" s="79" t="s">
        <v>43</v>
      </c>
      <c r="K48" s="80"/>
      <c r="L48" s="99"/>
      <c r="M48" s="37"/>
    </row>
  </sheetData>
  <mergeCells count="4">
    <mergeCell ref="C3:D3"/>
    <mergeCell ref="G3:H3"/>
    <mergeCell ref="K3:L3"/>
    <mergeCell ref="B1:L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F3E6-F524-4914-8D4A-42EB1A8AC826}">
  <sheetPr>
    <tabColor rgb="FF00B0F0"/>
  </sheetPr>
  <dimension ref="A1:K105"/>
  <sheetViews>
    <sheetView workbookViewId="0">
      <pane ySplit="5" topLeftCell="A11" activePane="bottomLeft" state="frozen"/>
      <selection pane="bottomLeft" activeCell="J3" sqref="J3"/>
    </sheetView>
  </sheetViews>
  <sheetFormatPr defaultRowHeight="14.25" x14ac:dyDescent="0.45"/>
  <cols>
    <col min="1" max="1" width="2.53125" customWidth="1"/>
    <col min="2" max="2" width="12.53125" customWidth="1"/>
    <col min="6" max="6" width="8.73046875" style="238"/>
    <col min="8" max="8" width="8.73046875" style="238"/>
  </cols>
  <sheetData>
    <row r="1" spans="1:11" x14ac:dyDescent="0.45">
      <c r="B1" s="436" t="s">
        <v>286</v>
      </c>
      <c r="C1" s="436"/>
      <c r="D1" s="436"/>
      <c r="E1" s="436"/>
      <c r="F1" s="436"/>
      <c r="G1" s="436"/>
      <c r="H1" s="436"/>
      <c r="I1" s="436"/>
      <c r="J1" s="436"/>
      <c r="K1" s="436"/>
    </row>
    <row r="2" spans="1:11" s="31" customFormat="1" ht="18.399999999999999" thickBot="1" x14ac:dyDescent="0.6">
      <c r="B2" s="409" t="s">
        <v>217</v>
      </c>
      <c r="C2" s="409"/>
      <c r="D2" s="409"/>
      <c r="E2" s="409"/>
      <c r="F2" s="409"/>
      <c r="G2" s="409"/>
      <c r="H2" s="409"/>
      <c r="I2" s="409"/>
    </row>
    <row r="3" spans="1:11" ht="31.9" thickBot="1" x14ac:dyDescent="0.5">
      <c r="A3" s="237"/>
      <c r="B3" s="239" t="s">
        <v>214</v>
      </c>
      <c r="C3" s="253">
        <v>0.5</v>
      </c>
      <c r="D3" s="240">
        <v>0.8</v>
      </c>
      <c r="E3" s="240">
        <v>0.9</v>
      </c>
      <c r="F3" s="241">
        <v>0.95</v>
      </c>
      <c r="G3" s="240">
        <v>0.98</v>
      </c>
      <c r="H3" s="242">
        <v>0.99</v>
      </c>
    </row>
    <row r="4" spans="1:11" ht="31.5" x14ac:dyDescent="0.45">
      <c r="B4" s="239" t="s">
        <v>215</v>
      </c>
      <c r="C4" s="254">
        <v>0.25</v>
      </c>
      <c r="D4" s="247">
        <v>0.1</v>
      </c>
      <c r="E4" s="247">
        <v>0.05</v>
      </c>
      <c r="F4" s="248">
        <v>2.5000000000000001E-2</v>
      </c>
      <c r="G4" s="247">
        <v>0.01</v>
      </c>
      <c r="H4" s="249">
        <v>5.0000000000000001E-3</v>
      </c>
    </row>
    <row r="5" spans="1:11" ht="31.9" thickBot="1" x14ac:dyDescent="0.5">
      <c r="A5" s="237"/>
      <c r="B5" s="243" t="s">
        <v>216</v>
      </c>
      <c r="C5" s="255">
        <v>0.5</v>
      </c>
      <c r="D5" s="244">
        <v>0.2</v>
      </c>
      <c r="E5" s="244">
        <v>0.1</v>
      </c>
      <c r="F5" s="245">
        <v>0.05</v>
      </c>
      <c r="G5" s="244">
        <v>0.02</v>
      </c>
      <c r="H5" s="246">
        <v>0.01</v>
      </c>
    </row>
    <row r="6" spans="1:11" ht="18" x14ac:dyDescent="0.45">
      <c r="A6" s="237"/>
      <c r="B6" s="250" t="s">
        <v>212</v>
      </c>
      <c r="C6" s="267">
        <v>1</v>
      </c>
      <c r="D6" s="267">
        <v>3.0779999999999998</v>
      </c>
      <c r="E6" s="267">
        <v>6.3140000000000001</v>
      </c>
      <c r="F6" s="268">
        <v>12.706</v>
      </c>
      <c r="G6" s="267">
        <v>31.821000000000002</v>
      </c>
      <c r="H6" s="269">
        <v>63.656999999999996</v>
      </c>
    </row>
    <row r="7" spans="1:11" ht="18" x14ac:dyDescent="0.45">
      <c r="A7" s="237"/>
      <c r="B7" s="251">
        <v>2</v>
      </c>
      <c r="C7" s="261">
        <v>0.81599999999999995</v>
      </c>
      <c r="D7" s="261">
        <v>1.8859999999999999</v>
      </c>
      <c r="E7" s="261">
        <v>2.92</v>
      </c>
      <c r="F7" s="262">
        <v>4.3029999999999999</v>
      </c>
      <c r="G7" s="261">
        <v>6.9649999999999999</v>
      </c>
      <c r="H7" s="263">
        <v>9.9250000000000007</v>
      </c>
    </row>
    <row r="8" spans="1:11" ht="18" x14ac:dyDescent="0.45">
      <c r="A8" s="237"/>
      <c r="B8" s="251">
        <v>3</v>
      </c>
      <c r="C8" s="261">
        <v>0.76500000000000001</v>
      </c>
      <c r="D8" s="261">
        <v>1.6379999999999999</v>
      </c>
      <c r="E8" s="261">
        <v>2.3530000000000002</v>
      </c>
      <c r="F8" s="262">
        <v>3.1819999999999999</v>
      </c>
      <c r="G8" s="261">
        <v>4.5410000000000004</v>
      </c>
      <c r="H8" s="263">
        <v>5.8410000000000002</v>
      </c>
    </row>
    <row r="9" spans="1:11" ht="18" x14ac:dyDescent="0.45">
      <c r="A9" s="237"/>
      <c r="B9" s="251">
        <v>4</v>
      </c>
      <c r="C9" s="261">
        <v>0.74099999999999999</v>
      </c>
      <c r="D9" s="261">
        <v>1.5329999999999999</v>
      </c>
      <c r="E9" s="261">
        <v>2.1320000000000001</v>
      </c>
      <c r="F9" s="262">
        <v>2.7759999999999998</v>
      </c>
      <c r="G9" s="261">
        <v>3.7469999999999999</v>
      </c>
      <c r="H9" s="263">
        <v>4.6040000000000001</v>
      </c>
    </row>
    <row r="10" spans="1:11" ht="18" x14ac:dyDescent="0.45">
      <c r="A10" s="237"/>
      <c r="B10" s="251">
        <v>5</v>
      </c>
      <c r="C10" s="261">
        <v>0.72699999999999998</v>
      </c>
      <c r="D10" s="261">
        <v>1.476</v>
      </c>
      <c r="E10" s="261">
        <v>2.0150000000000001</v>
      </c>
      <c r="F10" s="262">
        <v>2.5710000000000002</v>
      </c>
      <c r="G10" s="261">
        <v>3.3650000000000002</v>
      </c>
      <c r="H10" s="263">
        <v>4.032</v>
      </c>
    </row>
    <row r="11" spans="1:11" ht="18" x14ac:dyDescent="0.45">
      <c r="A11" s="237"/>
      <c r="B11" s="251">
        <v>6</v>
      </c>
      <c r="C11" s="261">
        <v>0.71799999999999997</v>
      </c>
      <c r="D11" s="261">
        <v>1.44</v>
      </c>
      <c r="E11" s="261">
        <v>1.9430000000000001</v>
      </c>
      <c r="F11" s="262">
        <v>2.4470000000000001</v>
      </c>
      <c r="G11" s="261">
        <v>3.1429999999999998</v>
      </c>
      <c r="H11" s="263">
        <v>3.7069999999999999</v>
      </c>
    </row>
    <row r="12" spans="1:11" ht="18" x14ac:dyDescent="0.45">
      <c r="A12" s="237"/>
      <c r="B12" s="251">
        <v>7</v>
      </c>
      <c r="C12" s="261">
        <v>0.71099999999999997</v>
      </c>
      <c r="D12" s="261">
        <v>1.415</v>
      </c>
      <c r="E12" s="261">
        <v>1.895</v>
      </c>
      <c r="F12" s="262">
        <v>2.3650000000000002</v>
      </c>
      <c r="G12" s="261">
        <v>2.9980000000000002</v>
      </c>
      <c r="H12" s="263">
        <v>3.4990000000000001</v>
      </c>
    </row>
    <row r="13" spans="1:11" ht="18" x14ac:dyDescent="0.45">
      <c r="A13" s="237"/>
      <c r="B13" s="251">
        <v>8</v>
      </c>
      <c r="C13" s="261">
        <v>0.70599999999999996</v>
      </c>
      <c r="D13" s="261">
        <v>1.397</v>
      </c>
      <c r="E13" s="261">
        <v>1.86</v>
      </c>
      <c r="F13" s="262">
        <v>2.306</v>
      </c>
      <c r="G13" s="261">
        <v>2.8959999999999999</v>
      </c>
      <c r="H13" s="263">
        <v>3.355</v>
      </c>
    </row>
    <row r="14" spans="1:11" ht="18" x14ac:dyDescent="0.45">
      <c r="A14" s="237"/>
      <c r="B14" s="251">
        <v>9</v>
      </c>
      <c r="C14" s="261">
        <v>0.70299999999999996</v>
      </c>
      <c r="D14" s="261">
        <v>1.383</v>
      </c>
      <c r="E14" s="261">
        <v>1.833</v>
      </c>
      <c r="F14" s="262">
        <v>2.262</v>
      </c>
      <c r="G14" s="261">
        <v>2.8210000000000002</v>
      </c>
      <c r="H14" s="263">
        <v>3.25</v>
      </c>
    </row>
    <row r="15" spans="1:11" ht="18" x14ac:dyDescent="0.45">
      <c r="A15" s="237"/>
      <c r="B15" s="251">
        <v>10</v>
      </c>
      <c r="C15" s="261">
        <v>0.7</v>
      </c>
      <c r="D15" s="261">
        <v>1.3720000000000001</v>
      </c>
      <c r="E15" s="261">
        <v>1.8120000000000001</v>
      </c>
      <c r="F15" s="262">
        <v>2.2280000000000002</v>
      </c>
      <c r="G15" s="261">
        <v>2.7639999999999998</v>
      </c>
      <c r="H15" s="263">
        <v>3.169</v>
      </c>
    </row>
    <row r="16" spans="1:11" ht="18" x14ac:dyDescent="0.45">
      <c r="A16" s="237"/>
      <c r="B16" s="251">
        <v>11</v>
      </c>
      <c r="C16" s="261">
        <v>0.69699999999999995</v>
      </c>
      <c r="D16" s="261">
        <v>1.363</v>
      </c>
      <c r="E16" s="261">
        <v>1.796</v>
      </c>
      <c r="F16" s="262">
        <v>2.2010000000000001</v>
      </c>
      <c r="G16" s="261">
        <v>2.718</v>
      </c>
      <c r="H16" s="263">
        <v>3.1059999999999999</v>
      </c>
    </row>
    <row r="17" spans="1:8" ht="18" x14ac:dyDescent="0.45">
      <c r="A17" s="237"/>
      <c r="B17" s="251">
        <v>12</v>
      </c>
      <c r="C17" s="261">
        <v>0.69499999999999995</v>
      </c>
      <c r="D17" s="261">
        <v>1.3560000000000001</v>
      </c>
      <c r="E17" s="261">
        <v>1.782</v>
      </c>
      <c r="F17" s="262">
        <v>2.1789999999999998</v>
      </c>
      <c r="G17" s="261">
        <v>2.681</v>
      </c>
      <c r="H17" s="263">
        <v>3.0550000000000002</v>
      </c>
    </row>
    <row r="18" spans="1:8" ht="18" x14ac:dyDescent="0.45">
      <c r="A18" s="237"/>
      <c r="B18" s="251">
        <v>13</v>
      </c>
      <c r="C18" s="261">
        <v>0.69399999999999995</v>
      </c>
      <c r="D18" s="261">
        <v>1.35</v>
      </c>
      <c r="E18" s="261">
        <v>1.7709999999999999</v>
      </c>
      <c r="F18" s="262">
        <v>2.16</v>
      </c>
      <c r="G18" s="261">
        <v>2.65</v>
      </c>
      <c r="H18" s="263">
        <v>3.012</v>
      </c>
    </row>
    <row r="19" spans="1:8" ht="18" x14ac:dyDescent="0.45">
      <c r="A19" s="237"/>
      <c r="B19" s="251">
        <v>14</v>
      </c>
      <c r="C19" s="261">
        <v>0.69199999999999995</v>
      </c>
      <c r="D19" s="261">
        <v>1.345</v>
      </c>
      <c r="E19" s="261">
        <v>1.7609999999999999</v>
      </c>
      <c r="F19" s="262">
        <v>2.145</v>
      </c>
      <c r="G19" s="261">
        <v>2.6240000000000001</v>
      </c>
      <c r="H19" s="263">
        <v>2.9769999999999999</v>
      </c>
    </row>
    <row r="20" spans="1:8" ht="18" x14ac:dyDescent="0.45">
      <c r="A20" s="237"/>
      <c r="B20" s="251">
        <v>15</v>
      </c>
      <c r="C20" s="261">
        <v>0.69099999999999995</v>
      </c>
      <c r="D20" s="261">
        <v>1.341</v>
      </c>
      <c r="E20" s="261">
        <v>1.7529999999999999</v>
      </c>
      <c r="F20" s="262">
        <v>2.1309999999999998</v>
      </c>
      <c r="G20" s="261">
        <v>2.6019999999999999</v>
      </c>
      <c r="H20" s="263">
        <v>2.9470000000000001</v>
      </c>
    </row>
    <row r="21" spans="1:8" ht="18" x14ac:dyDescent="0.45">
      <c r="A21" s="237"/>
      <c r="B21" s="251">
        <v>16</v>
      </c>
      <c r="C21" s="261">
        <v>0.69</v>
      </c>
      <c r="D21" s="261">
        <v>1.337</v>
      </c>
      <c r="E21" s="261">
        <v>1.746</v>
      </c>
      <c r="F21" s="262">
        <v>2.12</v>
      </c>
      <c r="G21" s="261">
        <v>2.5830000000000002</v>
      </c>
      <c r="H21" s="263">
        <v>2.9209999999999998</v>
      </c>
    </row>
    <row r="22" spans="1:8" ht="18" x14ac:dyDescent="0.45">
      <c r="A22" s="237"/>
      <c r="B22" s="251">
        <v>17</v>
      </c>
      <c r="C22" s="261">
        <v>0.68899999999999995</v>
      </c>
      <c r="D22" s="261">
        <v>1.333</v>
      </c>
      <c r="E22" s="261">
        <v>1.74</v>
      </c>
      <c r="F22" s="262">
        <v>2.11</v>
      </c>
      <c r="G22" s="261">
        <v>2.5670000000000002</v>
      </c>
      <c r="H22" s="263">
        <v>2.8980000000000001</v>
      </c>
    </row>
    <row r="23" spans="1:8" ht="18" x14ac:dyDescent="0.45">
      <c r="A23" s="237"/>
      <c r="B23" s="251">
        <v>18</v>
      </c>
      <c r="C23" s="261">
        <v>0.68799999999999994</v>
      </c>
      <c r="D23" s="261">
        <v>1.33</v>
      </c>
      <c r="E23" s="261">
        <v>1.734</v>
      </c>
      <c r="F23" s="262">
        <v>2.101</v>
      </c>
      <c r="G23" s="261">
        <v>2.552</v>
      </c>
      <c r="H23" s="263">
        <v>2.8780000000000001</v>
      </c>
    </row>
    <row r="24" spans="1:8" ht="18" x14ac:dyDescent="0.45">
      <c r="A24" s="237"/>
      <c r="B24" s="251">
        <v>19</v>
      </c>
      <c r="C24" s="261">
        <v>0.68799999999999994</v>
      </c>
      <c r="D24" s="261">
        <v>1.3280000000000001</v>
      </c>
      <c r="E24" s="261">
        <v>1.7290000000000001</v>
      </c>
      <c r="F24" s="262">
        <v>2.093</v>
      </c>
      <c r="G24" s="261">
        <v>2.5390000000000001</v>
      </c>
      <c r="H24" s="263">
        <v>2.8610000000000002</v>
      </c>
    </row>
    <row r="25" spans="1:8" ht="18" x14ac:dyDescent="0.45">
      <c r="A25" s="237"/>
      <c r="B25" s="251">
        <v>20</v>
      </c>
      <c r="C25" s="261">
        <v>0.68700000000000006</v>
      </c>
      <c r="D25" s="261">
        <v>1.325</v>
      </c>
      <c r="E25" s="261">
        <v>1.7250000000000001</v>
      </c>
      <c r="F25" s="262">
        <v>2.0859999999999999</v>
      </c>
      <c r="G25" s="261">
        <v>2.528</v>
      </c>
      <c r="H25" s="263">
        <v>2.8450000000000002</v>
      </c>
    </row>
    <row r="26" spans="1:8" ht="18" x14ac:dyDescent="0.45">
      <c r="A26" s="237"/>
      <c r="B26" s="251">
        <v>21</v>
      </c>
      <c r="C26" s="261">
        <v>0.68600000000000005</v>
      </c>
      <c r="D26" s="261">
        <v>1.323</v>
      </c>
      <c r="E26" s="261">
        <v>1.7210000000000001</v>
      </c>
      <c r="F26" s="262">
        <v>2.08</v>
      </c>
      <c r="G26" s="261">
        <v>2.5179999999999998</v>
      </c>
      <c r="H26" s="263">
        <v>2.831</v>
      </c>
    </row>
    <row r="27" spans="1:8" ht="18" x14ac:dyDescent="0.45">
      <c r="A27" s="237"/>
      <c r="B27" s="251">
        <v>22</v>
      </c>
      <c r="C27" s="261">
        <v>0.68600000000000005</v>
      </c>
      <c r="D27" s="261">
        <v>1.321</v>
      </c>
      <c r="E27" s="261">
        <v>1.7170000000000001</v>
      </c>
      <c r="F27" s="262">
        <v>2.0739999999999998</v>
      </c>
      <c r="G27" s="261">
        <v>2.508</v>
      </c>
      <c r="H27" s="263">
        <v>2.819</v>
      </c>
    </row>
    <row r="28" spans="1:8" ht="18" x14ac:dyDescent="0.45">
      <c r="A28" s="237"/>
      <c r="B28" s="251">
        <v>23</v>
      </c>
      <c r="C28" s="261">
        <v>0.68500000000000005</v>
      </c>
      <c r="D28" s="261">
        <v>1.319</v>
      </c>
      <c r="E28" s="261">
        <v>1.714</v>
      </c>
      <c r="F28" s="262">
        <v>2.069</v>
      </c>
      <c r="G28" s="261">
        <v>2.5</v>
      </c>
      <c r="H28" s="263">
        <v>2.8069999999999999</v>
      </c>
    </row>
    <row r="29" spans="1:8" ht="18" x14ac:dyDescent="0.45">
      <c r="A29" s="237"/>
      <c r="B29" s="251">
        <v>24</v>
      </c>
      <c r="C29" s="261">
        <v>0.68500000000000005</v>
      </c>
      <c r="D29" s="261">
        <v>1.3180000000000001</v>
      </c>
      <c r="E29" s="261">
        <v>1.7110000000000001</v>
      </c>
      <c r="F29" s="262">
        <v>2.0640000000000001</v>
      </c>
      <c r="G29" s="261">
        <v>2.492</v>
      </c>
      <c r="H29" s="263">
        <v>2.7970000000000002</v>
      </c>
    </row>
    <row r="30" spans="1:8" ht="18" x14ac:dyDescent="0.45">
      <c r="A30" s="237"/>
      <c r="B30" s="251">
        <v>25</v>
      </c>
      <c r="C30" s="261">
        <v>0.68400000000000005</v>
      </c>
      <c r="D30" s="261">
        <v>1.3160000000000001</v>
      </c>
      <c r="E30" s="261">
        <v>1.708</v>
      </c>
      <c r="F30" s="262">
        <v>2.06</v>
      </c>
      <c r="G30" s="261">
        <v>2.4849999999999999</v>
      </c>
      <c r="H30" s="263">
        <v>2.7869999999999999</v>
      </c>
    </row>
    <row r="31" spans="1:8" ht="18" x14ac:dyDescent="0.45">
      <c r="A31" s="237"/>
      <c r="B31" s="251">
        <v>26</v>
      </c>
      <c r="C31" s="261">
        <v>0.68400000000000005</v>
      </c>
      <c r="D31" s="261">
        <v>1.3149999999999999</v>
      </c>
      <c r="E31" s="261">
        <v>1.706</v>
      </c>
      <c r="F31" s="262">
        <v>2.056</v>
      </c>
      <c r="G31" s="261">
        <v>2.4790000000000001</v>
      </c>
      <c r="H31" s="263">
        <v>2.7789999999999999</v>
      </c>
    </row>
    <row r="32" spans="1:8" ht="18" x14ac:dyDescent="0.45">
      <c r="A32" s="237"/>
      <c r="B32" s="251">
        <v>27</v>
      </c>
      <c r="C32" s="261">
        <v>0.68400000000000005</v>
      </c>
      <c r="D32" s="261">
        <v>1.3140000000000001</v>
      </c>
      <c r="E32" s="261">
        <v>1.7030000000000001</v>
      </c>
      <c r="F32" s="262">
        <v>2.052</v>
      </c>
      <c r="G32" s="261">
        <v>2.4729999999999999</v>
      </c>
      <c r="H32" s="263">
        <v>2.7709999999999999</v>
      </c>
    </row>
    <row r="33" spans="1:8" ht="18" x14ac:dyDescent="0.45">
      <c r="A33" s="237"/>
      <c r="B33" s="251">
        <v>28</v>
      </c>
      <c r="C33" s="261">
        <v>0.68300000000000005</v>
      </c>
      <c r="D33" s="261">
        <v>1.3129999999999999</v>
      </c>
      <c r="E33" s="261">
        <v>1.7010000000000001</v>
      </c>
      <c r="F33" s="262">
        <v>2.048</v>
      </c>
      <c r="G33" s="261">
        <v>2.4670000000000001</v>
      </c>
      <c r="H33" s="263">
        <v>2.7629999999999999</v>
      </c>
    </row>
    <row r="34" spans="1:8" ht="18" x14ac:dyDescent="0.45">
      <c r="A34" s="237"/>
      <c r="B34" s="251">
        <v>29</v>
      </c>
      <c r="C34" s="261">
        <v>0.68300000000000005</v>
      </c>
      <c r="D34" s="261">
        <v>1.3109999999999999</v>
      </c>
      <c r="E34" s="261">
        <v>1.6990000000000001</v>
      </c>
      <c r="F34" s="262">
        <v>2.0449999999999999</v>
      </c>
      <c r="G34" s="261">
        <v>2.4620000000000002</v>
      </c>
      <c r="H34" s="263">
        <v>2.7559999999999998</v>
      </c>
    </row>
    <row r="35" spans="1:8" ht="18" x14ac:dyDescent="0.45">
      <c r="A35" s="237"/>
      <c r="B35" s="251">
        <v>30</v>
      </c>
      <c r="C35" s="261">
        <v>0.68300000000000005</v>
      </c>
      <c r="D35" s="261">
        <v>1.31</v>
      </c>
      <c r="E35" s="261">
        <v>1.6970000000000001</v>
      </c>
      <c r="F35" s="262">
        <v>2.0419999999999998</v>
      </c>
      <c r="G35" s="261">
        <v>2.4569999999999999</v>
      </c>
      <c r="H35" s="263">
        <v>2.75</v>
      </c>
    </row>
    <row r="36" spans="1:8" ht="18" x14ac:dyDescent="0.45">
      <c r="A36" s="237"/>
      <c r="B36" s="251">
        <v>40</v>
      </c>
      <c r="C36" s="261">
        <v>0.68100000000000005</v>
      </c>
      <c r="D36" s="261">
        <v>1.3029999999999999</v>
      </c>
      <c r="E36" s="261">
        <v>1.6839999999999999</v>
      </c>
      <c r="F36" s="262">
        <v>2.0209999999999999</v>
      </c>
      <c r="G36" s="261">
        <v>2.423</v>
      </c>
      <c r="H36" s="263">
        <v>2.7040000000000002</v>
      </c>
    </row>
    <row r="37" spans="1:8" ht="18" x14ac:dyDescent="0.45">
      <c r="A37" s="237"/>
      <c r="B37" s="251">
        <v>50</v>
      </c>
      <c r="C37" s="261">
        <v>0.67900000000000005</v>
      </c>
      <c r="D37" s="261">
        <v>1.2989999999999999</v>
      </c>
      <c r="E37" s="261">
        <v>1.6759999999999999</v>
      </c>
      <c r="F37" s="262">
        <v>2.0089999999999999</v>
      </c>
      <c r="G37" s="261">
        <v>2.403</v>
      </c>
      <c r="H37" s="263">
        <v>2.6779999999999999</v>
      </c>
    </row>
    <row r="38" spans="1:8" ht="18" x14ac:dyDescent="0.45">
      <c r="A38" s="237"/>
      <c r="B38" s="251">
        <v>60</v>
      </c>
      <c r="C38" s="261">
        <v>0.67900000000000005</v>
      </c>
      <c r="D38" s="261">
        <v>1.296</v>
      </c>
      <c r="E38" s="261">
        <v>1.671</v>
      </c>
      <c r="F38" s="262">
        <v>2</v>
      </c>
      <c r="G38" s="261">
        <v>2.39</v>
      </c>
      <c r="H38" s="263">
        <v>2.66</v>
      </c>
    </row>
    <row r="39" spans="1:8" ht="18" x14ac:dyDescent="0.45">
      <c r="A39" s="237"/>
      <c r="B39" s="251">
        <v>70</v>
      </c>
      <c r="C39" s="261">
        <v>0.67800000000000005</v>
      </c>
      <c r="D39" s="261">
        <v>1.294</v>
      </c>
      <c r="E39" s="261">
        <v>1.667</v>
      </c>
      <c r="F39" s="262">
        <v>1.994</v>
      </c>
      <c r="G39" s="261">
        <v>2.3809999999999998</v>
      </c>
      <c r="H39" s="263">
        <v>2.6480000000000001</v>
      </c>
    </row>
    <row r="40" spans="1:8" ht="18" x14ac:dyDescent="0.45">
      <c r="A40" s="237"/>
      <c r="B40" s="251">
        <v>80</v>
      </c>
      <c r="C40" s="261">
        <v>0.67800000000000005</v>
      </c>
      <c r="D40" s="261">
        <v>1.292</v>
      </c>
      <c r="E40" s="261">
        <v>1.6639999999999999</v>
      </c>
      <c r="F40" s="262">
        <v>1.99</v>
      </c>
      <c r="G40" s="261">
        <v>2.3740000000000001</v>
      </c>
      <c r="H40" s="263">
        <v>2.6389999999999998</v>
      </c>
    </row>
    <row r="41" spans="1:8" ht="18" x14ac:dyDescent="0.45">
      <c r="A41" s="237"/>
      <c r="B41" s="251">
        <v>90</v>
      </c>
      <c r="C41" s="261">
        <v>0.67700000000000005</v>
      </c>
      <c r="D41" s="261">
        <v>1.2909999999999999</v>
      </c>
      <c r="E41" s="261">
        <v>1.6619999999999999</v>
      </c>
      <c r="F41" s="262">
        <v>1.9870000000000001</v>
      </c>
      <c r="G41" s="261">
        <v>2.3679999999999999</v>
      </c>
      <c r="H41" s="263">
        <v>2.6320000000000001</v>
      </c>
    </row>
    <row r="42" spans="1:8" ht="18" x14ac:dyDescent="0.45">
      <c r="A42" s="237"/>
      <c r="B42" s="251">
        <v>100</v>
      </c>
      <c r="C42" s="261">
        <v>0.67700000000000005</v>
      </c>
      <c r="D42" s="261">
        <v>1.29</v>
      </c>
      <c r="E42" s="261">
        <v>1.66</v>
      </c>
      <c r="F42" s="262">
        <v>1.984</v>
      </c>
      <c r="G42" s="261">
        <v>2.3639999999999999</v>
      </c>
      <c r="H42" s="263">
        <v>2.6259999999999999</v>
      </c>
    </row>
    <row r="43" spans="1:8" ht="18.399999999999999" thickBot="1" x14ac:dyDescent="0.5">
      <c r="A43" s="237"/>
      <c r="B43" s="252" t="s">
        <v>213</v>
      </c>
      <c r="C43" s="264">
        <v>0.67400000000000004</v>
      </c>
      <c r="D43" s="264">
        <v>1.282</v>
      </c>
      <c r="E43" s="264">
        <v>1.645</v>
      </c>
      <c r="F43" s="265">
        <v>1.96</v>
      </c>
      <c r="G43" s="264">
        <v>2.3260000000000001</v>
      </c>
      <c r="H43" s="266">
        <v>2.5760000000000001</v>
      </c>
    </row>
    <row r="44" spans="1:8" x14ac:dyDescent="0.45">
      <c r="A44" s="237"/>
    </row>
    <row r="45" spans="1:8" x14ac:dyDescent="0.45">
      <c r="A45" s="237"/>
    </row>
    <row r="46" spans="1:8" x14ac:dyDescent="0.45">
      <c r="A46" s="237"/>
    </row>
    <row r="47" spans="1:8" x14ac:dyDescent="0.45">
      <c r="A47" s="237"/>
    </row>
    <row r="48" spans="1:8" x14ac:dyDescent="0.45">
      <c r="A48" s="237"/>
    </row>
    <row r="49" spans="1:1" x14ac:dyDescent="0.45">
      <c r="A49" s="237"/>
    </row>
    <row r="50" spans="1:1" x14ac:dyDescent="0.45">
      <c r="A50" s="237"/>
    </row>
    <row r="51" spans="1:1" x14ac:dyDescent="0.45">
      <c r="A51" s="237"/>
    </row>
    <row r="52" spans="1:1" x14ac:dyDescent="0.45">
      <c r="A52" s="237"/>
    </row>
    <row r="53" spans="1:1" x14ac:dyDescent="0.45">
      <c r="A53" s="237"/>
    </row>
    <row r="54" spans="1:1" x14ac:dyDescent="0.45">
      <c r="A54" s="237"/>
    </row>
    <row r="55" spans="1:1" x14ac:dyDescent="0.45">
      <c r="A55" s="237"/>
    </row>
    <row r="56" spans="1:1" x14ac:dyDescent="0.45">
      <c r="A56" s="237"/>
    </row>
    <row r="57" spans="1:1" x14ac:dyDescent="0.45">
      <c r="A57" s="237"/>
    </row>
    <row r="58" spans="1:1" x14ac:dyDescent="0.45">
      <c r="A58" s="237"/>
    </row>
    <row r="59" spans="1:1" x14ac:dyDescent="0.45">
      <c r="A59" s="237"/>
    </row>
    <row r="60" spans="1:1" x14ac:dyDescent="0.45">
      <c r="A60" s="237"/>
    </row>
    <row r="61" spans="1:1" x14ac:dyDescent="0.45">
      <c r="A61" s="237"/>
    </row>
    <row r="62" spans="1:1" x14ac:dyDescent="0.45">
      <c r="A62" s="237"/>
    </row>
    <row r="63" spans="1:1" x14ac:dyDescent="0.45">
      <c r="A63" s="237"/>
    </row>
    <row r="64" spans="1:1" x14ac:dyDescent="0.45">
      <c r="A64" s="237"/>
    </row>
    <row r="65" spans="1:1" x14ac:dyDescent="0.45">
      <c r="A65" s="237"/>
    </row>
    <row r="66" spans="1:1" x14ac:dyDescent="0.45">
      <c r="A66" s="237"/>
    </row>
    <row r="67" spans="1:1" x14ac:dyDescent="0.45">
      <c r="A67" s="237"/>
    </row>
    <row r="68" spans="1:1" x14ac:dyDescent="0.45">
      <c r="A68" s="237"/>
    </row>
    <row r="69" spans="1:1" x14ac:dyDescent="0.45">
      <c r="A69" s="237"/>
    </row>
    <row r="70" spans="1:1" x14ac:dyDescent="0.45">
      <c r="A70" s="237"/>
    </row>
    <row r="71" spans="1:1" x14ac:dyDescent="0.45">
      <c r="A71" s="237"/>
    </row>
    <row r="72" spans="1:1" x14ac:dyDescent="0.45">
      <c r="A72" s="237"/>
    </row>
    <row r="73" spans="1:1" x14ac:dyDescent="0.45">
      <c r="A73" s="237"/>
    </row>
    <row r="74" spans="1:1" x14ac:dyDescent="0.45">
      <c r="A74" s="237"/>
    </row>
    <row r="75" spans="1:1" x14ac:dyDescent="0.45">
      <c r="A75" s="237"/>
    </row>
    <row r="76" spans="1:1" x14ac:dyDescent="0.45">
      <c r="A76" s="237"/>
    </row>
    <row r="77" spans="1:1" x14ac:dyDescent="0.45">
      <c r="A77" s="237"/>
    </row>
    <row r="78" spans="1:1" x14ac:dyDescent="0.45">
      <c r="A78" s="237"/>
    </row>
    <row r="79" spans="1:1" x14ac:dyDescent="0.45">
      <c r="A79" s="237"/>
    </row>
    <row r="80" spans="1:1" x14ac:dyDescent="0.45">
      <c r="A80" s="237"/>
    </row>
    <row r="81" spans="1:1" x14ac:dyDescent="0.45">
      <c r="A81" s="237"/>
    </row>
    <row r="82" spans="1:1" x14ac:dyDescent="0.45">
      <c r="A82" s="237"/>
    </row>
    <row r="83" spans="1:1" x14ac:dyDescent="0.45">
      <c r="A83" s="237"/>
    </row>
    <row r="84" spans="1:1" x14ac:dyDescent="0.45">
      <c r="A84" s="237"/>
    </row>
    <row r="85" spans="1:1" x14ac:dyDescent="0.45">
      <c r="A85" s="237"/>
    </row>
    <row r="86" spans="1:1" x14ac:dyDescent="0.45">
      <c r="A86" s="237"/>
    </row>
    <row r="87" spans="1:1" x14ac:dyDescent="0.45">
      <c r="A87" s="237"/>
    </row>
    <row r="88" spans="1:1" x14ac:dyDescent="0.45">
      <c r="A88" s="237"/>
    </row>
    <row r="89" spans="1:1" x14ac:dyDescent="0.45">
      <c r="A89" s="237"/>
    </row>
    <row r="90" spans="1:1" x14ac:dyDescent="0.45">
      <c r="A90" s="237"/>
    </row>
    <row r="91" spans="1:1" x14ac:dyDescent="0.45">
      <c r="A91" s="237"/>
    </row>
    <row r="92" spans="1:1" x14ac:dyDescent="0.45">
      <c r="A92" s="237"/>
    </row>
    <row r="93" spans="1:1" x14ac:dyDescent="0.45">
      <c r="A93" s="237"/>
    </row>
    <row r="94" spans="1:1" x14ac:dyDescent="0.45">
      <c r="A94" s="237"/>
    </row>
    <row r="95" spans="1:1" x14ac:dyDescent="0.45">
      <c r="A95" s="237"/>
    </row>
    <row r="96" spans="1:1" x14ac:dyDescent="0.45">
      <c r="A96" s="237"/>
    </row>
    <row r="97" spans="1:1" x14ac:dyDescent="0.45">
      <c r="A97" s="237"/>
    </row>
    <row r="98" spans="1:1" x14ac:dyDescent="0.45">
      <c r="A98" s="237"/>
    </row>
    <row r="99" spans="1:1" x14ac:dyDescent="0.45">
      <c r="A99" s="237"/>
    </row>
    <row r="100" spans="1:1" x14ac:dyDescent="0.45">
      <c r="A100" s="237"/>
    </row>
    <row r="101" spans="1:1" x14ac:dyDescent="0.45">
      <c r="A101" s="237"/>
    </row>
    <row r="102" spans="1:1" x14ac:dyDescent="0.45">
      <c r="A102" s="237"/>
    </row>
    <row r="103" spans="1:1" x14ac:dyDescent="0.45">
      <c r="A103" s="237"/>
    </row>
    <row r="104" spans="1:1" x14ac:dyDescent="0.45">
      <c r="A104" s="237"/>
    </row>
    <row r="105" spans="1:1" x14ac:dyDescent="0.45">
      <c r="A105" s="237"/>
    </row>
  </sheetData>
  <mergeCells count="2">
    <mergeCell ref="B2:I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X^2 instructions</vt:lpstr>
      <vt:lpstr>Chi-Square</vt:lpstr>
      <vt:lpstr>Chi-Sq MN</vt:lpstr>
      <vt:lpstr>Chi-Square ABO</vt:lpstr>
      <vt:lpstr>RxC G-test</vt:lpstr>
      <vt:lpstr>G-test A B AB O </vt:lpstr>
      <vt:lpstr>ABO ethnic data</vt:lpstr>
      <vt:lpstr>t-test</vt:lpstr>
      <vt:lpstr>Critical Values of t</vt:lpstr>
      <vt:lpstr>F-test</vt:lpstr>
      <vt:lpstr>Bayes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Steven M Carr</dc:creator>
  <cp:lastModifiedBy>Steven M Carr</cp:lastModifiedBy>
  <dcterms:created xsi:type="dcterms:W3CDTF">2019-10-06T22:35:26Z</dcterms:created>
  <dcterms:modified xsi:type="dcterms:W3CDTF">2020-10-21T16:18:43Z</dcterms:modified>
</cp:coreProperties>
</file>