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AA SMC files\Bio4250 - Evolutionary Genetics\"/>
    </mc:Choice>
  </mc:AlternateContent>
  <xr:revisionPtr revIDLastSave="0" documentId="8_{EDF32FE5-4592-4A6E-AC80-8B2D603A863C}" xr6:coauthVersionLast="45" xr6:coauthVersionMax="45" xr10:uidLastSave="{00000000-0000-0000-0000-000000000000}"/>
  <bookViews>
    <workbookView xWindow="-120" yWindow="-120" windowWidth="38640" windowHeight="21240" activeTab="4" xr2:uid="{B9C8EC2E-F016-44A4-B7D2-7DB0F73D0BFC}"/>
  </bookViews>
  <sheets>
    <sheet name="X^2 instructions" sheetId="17" r:id="rId1"/>
    <sheet name="Chi-Square" sheetId="2" r:id="rId2"/>
    <sheet name="Chi-Sq MN" sheetId="14" r:id="rId3"/>
    <sheet name="Chi-Square ABO)" sheetId="12" r:id="rId4"/>
    <sheet name="RxC G-test" sheetId="8" r:id="rId5"/>
    <sheet name="G-test A B AB O" sheetId="15" r:id="rId6"/>
    <sheet name="t-test" sheetId="4" r:id="rId7"/>
    <sheet name="Critical Values of t" sheetId="16" r:id="rId8"/>
    <sheet name="F-test" sheetId="1" r:id="rId9"/>
    <sheet name="ABO ethnic data" sheetId="1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3" l="1"/>
  <c r="G6" i="13" l="1"/>
  <c r="H6" i="13"/>
  <c r="J38" i="15"/>
  <c r="H38" i="15" s="1"/>
  <c r="K38" i="15" s="1"/>
  <c r="I38" i="15"/>
  <c r="J28" i="15"/>
  <c r="H28" i="15" s="1"/>
  <c r="J27" i="15"/>
  <c r="I27" i="15" s="1"/>
  <c r="L27" i="15" s="1"/>
  <c r="D13" i="15"/>
  <c r="C13" i="15"/>
  <c r="G12" i="15"/>
  <c r="F12" i="15"/>
  <c r="E12" i="15"/>
  <c r="I12" i="15" s="1"/>
  <c r="G11" i="15"/>
  <c r="F11" i="15"/>
  <c r="E11" i="15"/>
  <c r="H11" i="15" s="1"/>
  <c r="G10" i="15"/>
  <c r="F10" i="15"/>
  <c r="E10" i="15"/>
  <c r="I10" i="15" s="1"/>
  <c r="G9" i="15"/>
  <c r="F9" i="15"/>
  <c r="E9" i="15"/>
  <c r="I9" i="15" s="1"/>
  <c r="J6" i="13" l="1"/>
  <c r="M6" i="13" s="1"/>
  <c r="Q6" i="13" s="1"/>
  <c r="K6" i="13"/>
  <c r="M38" i="15"/>
  <c r="N38" i="15"/>
  <c r="R38" i="15" s="1"/>
  <c r="L38" i="15"/>
  <c r="C17" i="15"/>
  <c r="H9" i="15"/>
  <c r="G13" i="15"/>
  <c r="K28" i="15"/>
  <c r="I28" i="15"/>
  <c r="L28" i="15" s="1"/>
  <c r="F13" i="15"/>
  <c r="H12" i="15"/>
  <c r="N28" i="15"/>
  <c r="I11" i="15"/>
  <c r="I13" i="15" s="1"/>
  <c r="E13" i="15"/>
  <c r="C18" i="15" s="1"/>
  <c r="N27" i="15"/>
  <c r="C15" i="15"/>
  <c r="H10" i="15"/>
  <c r="H27" i="15"/>
  <c r="N6" i="13" l="1"/>
  <c r="L6" i="13"/>
  <c r="O6" i="13" s="1"/>
  <c r="O38" i="15"/>
  <c r="Q38" i="15"/>
  <c r="P38" i="15"/>
  <c r="H13" i="15"/>
  <c r="M28" i="15"/>
  <c r="M27" i="15"/>
  <c r="K27" i="15"/>
  <c r="C16" i="15"/>
  <c r="C19" i="15" s="1"/>
  <c r="P6" i="13" l="1"/>
  <c r="R6" i="13"/>
  <c r="S38" i="15"/>
  <c r="F4" i="14" l="1"/>
  <c r="F5" i="14"/>
  <c r="F6" i="14"/>
  <c r="H15" i="14" s="1"/>
  <c r="F7" i="14"/>
  <c r="F14" i="14" s="1"/>
  <c r="C14" i="14"/>
  <c r="D4" i="14" s="1"/>
  <c r="G6" i="14" l="1"/>
  <c r="G5" i="14"/>
  <c r="G7" i="14"/>
  <c r="I13" i="14" s="1"/>
  <c r="J13" i="14" s="1"/>
  <c r="K13" i="14" s="1"/>
  <c r="G4" i="14"/>
  <c r="I4" i="14" s="1"/>
  <c r="J4" i="14" s="1"/>
  <c r="I11" i="14"/>
  <c r="J11" i="14" s="1"/>
  <c r="K11" i="14" s="1"/>
  <c r="I8" i="14"/>
  <c r="J8" i="14" s="1"/>
  <c r="K8" i="14" s="1"/>
  <c r="I9" i="14"/>
  <c r="J9" i="14" s="1"/>
  <c r="K9" i="14" s="1"/>
  <c r="D13" i="14"/>
  <c r="D11" i="14"/>
  <c r="D9" i="14"/>
  <c r="D12" i="14"/>
  <c r="D10" i="14"/>
  <c r="D8" i="14"/>
  <c r="D16" i="14" s="1"/>
  <c r="D7" i="14"/>
  <c r="D6" i="14"/>
  <c r="D5" i="14"/>
  <c r="E6" i="12"/>
  <c r="G6" i="12" s="1"/>
  <c r="E7" i="12"/>
  <c r="G7" i="12" s="1"/>
  <c r="E8" i="12"/>
  <c r="G8" i="12" s="1"/>
  <c r="E5" i="12"/>
  <c r="G5" i="12" s="1"/>
  <c r="D10" i="12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12" i="8"/>
  <c r="D6" i="8"/>
  <c r="D7" i="8"/>
  <c r="H7" i="8" s="1"/>
  <c r="D8" i="8"/>
  <c r="F8" i="8" s="1"/>
  <c r="D9" i="8"/>
  <c r="H9" i="8" s="1"/>
  <c r="D10" i="8"/>
  <c r="D11" i="8"/>
  <c r="H11" i="8" s="1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5" i="8"/>
  <c r="H5" i="8" s="1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5" i="8"/>
  <c r="F6" i="8"/>
  <c r="G6" i="8"/>
  <c r="H6" i="8"/>
  <c r="I6" i="8"/>
  <c r="I7" i="8"/>
  <c r="I8" i="8"/>
  <c r="I9" i="8"/>
  <c r="F10" i="8"/>
  <c r="G10" i="8"/>
  <c r="H10" i="8"/>
  <c r="I10" i="8"/>
  <c r="I11" i="8"/>
  <c r="K41" i="4"/>
  <c r="K42" i="4" s="1"/>
  <c r="K45" i="4" s="1"/>
  <c r="K40" i="4"/>
  <c r="L41" i="4"/>
  <c r="L40" i="4"/>
  <c r="L42" i="4" s="1"/>
  <c r="K43" i="4"/>
  <c r="K46" i="4"/>
  <c r="G40" i="4"/>
  <c r="G46" i="4" s="1"/>
  <c r="H40" i="4"/>
  <c r="C40" i="4"/>
  <c r="C46" i="4" s="1"/>
  <c r="D40" i="4"/>
  <c r="G41" i="4"/>
  <c r="G42" i="4"/>
  <c r="G45" i="4" s="1"/>
  <c r="H41" i="4"/>
  <c r="H42" i="4"/>
  <c r="G43" i="4"/>
  <c r="H43" i="4"/>
  <c r="D43" i="4"/>
  <c r="C43" i="4"/>
  <c r="C41" i="4"/>
  <c r="C42" i="4" s="1"/>
  <c r="C45" i="4" s="1"/>
  <c r="D41" i="4"/>
  <c r="D42" i="4"/>
  <c r="E5" i="2"/>
  <c r="F5" i="2"/>
  <c r="E6" i="2"/>
  <c r="F6" i="2" s="1"/>
  <c r="E7" i="2"/>
  <c r="F7" i="2"/>
  <c r="E8" i="2"/>
  <c r="F8" i="2" s="1"/>
  <c r="E9" i="2"/>
  <c r="F9" i="2"/>
  <c r="E10" i="2"/>
  <c r="F10" i="2" s="1"/>
  <c r="E11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G5" i="8"/>
  <c r="B40" i="8"/>
  <c r="C40" i="8"/>
  <c r="I5" i="8"/>
  <c r="D41" i="2"/>
  <c r="D40" i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12" i="2"/>
  <c r="E5" i="1"/>
  <c r="E41" i="1" s="1"/>
  <c r="D45" i="1" s="1"/>
  <c r="D48" i="1" s="1"/>
  <c r="D50" i="1" s="1"/>
  <c r="I45" i="1" s="1"/>
  <c r="J45" i="1" s="1"/>
  <c r="E6" i="1"/>
  <c r="E7" i="1"/>
  <c r="E8" i="1"/>
  <c r="E9" i="1"/>
  <c r="E10" i="1"/>
  <c r="E11" i="1"/>
  <c r="F5" i="1"/>
  <c r="F6" i="1"/>
  <c r="F7" i="1"/>
  <c r="F8" i="1"/>
  <c r="F9" i="1"/>
  <c r="F10" i="1"/>
  <c r="F11" i="1"/>
  <c r="F41" i="1"/>
  <c r="C41" i="1"/>
  <c r="D41" i="1"/>
  <c r="D44" i="1"/>
  <c r="D47" i="1" s="1"/>
  <c r="C40" i="1"/>
  <c r="D46" i="1"/>
  <c r="D49" i="1" s="1"/>
  <c r="I44" i="1" s="1"/>
  <c r="C42" i="1"/>
  <c r="D42" i="1"/>
  <c r="H45" i="1"/>
  <c r="H46" i="1"/>
  <c r="H8" i="8" l="1"/>
  <c r="F5" i="8"/>
  <c r="C44" i="8"/>
  <c r="G8" i="8"/>
  <c r="G10" i="12"/>
  <c r="F8" i="12"/>
  <c r="F7" i="12"/>
  <c r="G11" i="8"/>
  <c r="G7" i="8"/>
  <c r="D40" i="8"/>
  <c r="G9" i="8"/>
  <c r="C43" i="8"/>
  <c r="F11" i="8"/>
  <c r="F9" i="8"/>
  <c r="F7" i="8"/>
  <c r="C42" i="8" s="1"/>
  <c r="I7" i="14"/>
  <c r="J7" i="14" s="1"/>
  <c r="K7" i="14" s="1"/>
  <c r="I10" i="14"/>
  <c r="J10" i="14" s="1"/>
  <c r="K10" i="14" s="1"/>
  <c r="D17" i="14"/>
  <c r="K4" i="14"/>
  <c r="I6" i="14"/>
  <c r="J6" i="14" s="1"/>
  <c r="K6" i="14" s="1"/>
  <c r="G14" i="14"/>
  <c r="D18" i="14"/>
  <c r="I5" i="14"/>
  <c r="J5" i="14" s="1"/>
  <c r="K5" i="14" s="1"/>
  <c r="I12" i="14"/>
  <c r="J12" i="14" s="1"/>
  <c r="K12" i="14" s="1"/>
  <c r="D14" i="14"/>
  <c r="F41" i="2"/>
  <c r="I14" i="14"/>
  <c r="F5" i="12"/>
  <c r="F6" i="12"/>
  <c r="J44" i="1"/>
  <c r="K44" i="1" s="1"/>
  <c r="I46" i="1"/>
  <c r="F10" i="12" l="1"/>
  <c r="G47" i="8"/>
  <c r="E47" i="8"/>
  <c r="C45" i="8"/>
  <c r="C46" i="8" s="1"/>
  <c r="F47" i="8"/>
  <c r="K15" i="14"/>
  <c r="J14" i="14"/>
  <c r="C47" i="8" l="1"/>
  <c r="E48" i="8" s="1"/>
</calcChain>
</file>

<file path=xl/sharedStrings.xml><?xml version="1.0" encoding="utf-8"?>
<sst xmlns="http://schemas.openxmlformats.org/spreadsheetml/2006/main" count="410" uniqueCount="269">
  <si>
    <t>© 2019 by Steven M Carr: Not to be reproduced or redistributed without written permission, scarr [at] mun.ca</t>
  </si>
  <si>
    <t>X</t>
  </si>
  <si>
    <t>Y</t>
  </si>
  <si>
    <t>X^2</t>
  </si>
  <si>
    <t>Y^2</t>
  </si>
  <si>
    <t>Count =</t>
  </si>
  <si>
    <t xml:space="preserve">Sum = </t>
  </si>
  <si>
    <t xml:space="preserve">Mean = </t>
  </si>
  <si>
    <t>df</t>
  </si>
  <si>
    <t>SS</t>
  </si>
  <si>
    <t>MS</t>
  </si>
  <si>
    <t>F</t>
  </si>
  <si>
    <t>Total</t>
  </si>
  <si>
    <t>Bx Cols</t>
  </si>
  <si>
    <t>Sum Sq</t>
  </si>
  <si>
    <t>W/i Col error</t>
  </si>
  <si>
    <t>SSGT/n</t>
  </si>
  <si>
    <t>CT</t>
  </si>
  <si>
    <t>SS total</t>
  </si>
  <si>
    <t>SS groups*</t>
  </si>
  <si>
    <t>SS w/in</t>
  </si>
  <si>
    <t>*for two groups with equal sample sizes, SS(groups) = square of difference of sums, over sample size</t>
  </si>
  <si>
    <t>G</t>
  </si>
  <si>
    <t>d</t>
  </si>
  <si>
    <t>df =</t>
  </si>
  <si>
    <t>Obs</t>
  </si>
  <si>
    <t>Sum</t>
  </si>
  <si>
    <r>
      <t xml:space="preserve">= </t>
    </r>
    <r>
      <rPr>
        <b/>
        <i/>
        <sz val="14"/>
        <color theme="1"/>
        <rFont val="Calibri"/>
        <family val="2"/>
        <scheme val="minor"/>
      </rPr>
      <t>q</t>
    </r>
  </si>
  <si>
    <r>
      <t xml:space="preserve">Σ* </t>
    </r>
    <r>
      <rPr>
        <b/>
        <i/>
        <sz val="14"/>
        <color theme="1"/>
        <rFont val="Calibri"/>
        <family val="2"/>
      </rPr>
      <t>ln</t>
    </r>
    <r>
      <rPr>
        <b/>
        <sz val="14"/>
        <color theme="1"/>
        <rFont val="Calibri"/>
        <family val="2"/>
      </rPr>
      <t>Σ</t>
    </r>
  </si>
  <si>
    <t>Σ</t>
  </si>
  <si>
    <t>1/Σ</t>
  </si>
  <si>
    <t xml:space="preserve">G(adj) = G/q = </t>
  </si>
  <si>
    <r>
      <rPr>
        <b/>
        <sz val="14"/>
        <color theme="1"/>
        <rFont val="Calibri"/>
        <family val="2"/>
        <scheme val="minor"/>
      </rPr>
      <t>G</t>
    </r>
    <r>
      <rPr>
        <sz val="14"/>
        <color theme="1"/>
        <rFont val="Calibri"/>
        <family val="2"/>
        <scheme val="minor"/>
      </rPr>
      <t xml:space="preserve"> = 2[Σcell f </t>
    </r>
    <r>
      <rPr>
        <i/>
        <sz val="14"/>
        <color theme="1"/>
        <rFont val="Calibri"/>
        <family val="2"/>
        <scheme val="minor"/>
      </rPr>
      <t>ln</t>
    </r>
    <r>
      <rPr>
        <sz val="14"/>
        <color theme="1"/>
        <rFont val="Calibri"/>
        <family val="2"/>
        <scheme val="minor"/>
      </rPr>
      <t xml:space="preserve">f - (Σrow &amp;  Σcolumn f </t>
    </r>
    <r>
      <rPr>
        <i/>
        <sz val="14"/>
        <color theme="1"/>
        <rFont val="Calibri"/>
        <family val="2"/>
        <scheme val="minor"/>
      </rPr>
      <t>ln</t>
    </r>
    <r>
      <rPr>
        <sz val="14"/>
        <color theme="1"/>
        <rFont val="Calibri"/>
        <family val="2"/>
        <scheme val="minor"/>
      </rPr>
      <t xml:space="preserve">f) + grand Σ f </t>
    </r>
    <r>
      <rPr>
        <i/>
        <sz val="14"/>
        <color theme="1"/>
        <rFont val="Calibri"/>
        <family val="2"/>
        <scheme val="minor"/>
      </rPr>
      <t>ln</t>
    </r>
    <r>
      <rPr>
        <sz val="14"/>
        <color theme="1"/>
        <rFont val="Calibri"/>
        <family val="2"/>
        <scheme val="minor"/>
      </rPr>
      <t>f)]</t>
    </r>
  </si>
  <si>
    <r>
      <rPr>
        <b/>
        <i/>
        <sz val="14"/>
        <color theme="1"/>
        <rFont val="Calibri"/>
        <family val="2"/>
        <scheme val="minor"/>
      </rPr>
      <t>X</t>
    </r>
    <r>
      <rPr>
        <b/>
        <sz val="14"/>
        <color theme="1"/>
        <rFont val="Calibri"/>
        <family val="2"/>
        <scheme val="minor"/>
      </rPr>
      <t>^2 =</t>
    </r>
  </si>
  <si>
    <t>I</t>
  </si>
  <si>
    <t>II</t>
  </si>
  <si>
    <t>n</t>
  </si>
  <si>
    <t>mean</t>
  </si>
  <si>
    <t>StdDev</t>
  </si>
  <si>
    <t xml:space="preserve">t = </t>
  </si>
  <si>
    <r>
      <t>Equal</t>
    </r>
    <r>
      <rPr>
        <b/>
        <i/>
        <sz val="16"/>
        <color theme="1"/>
        <rFont val="Calibri"/>
        <family val="2"/>
        <scheme val="minor"/>
      </rPr>
      <t xml:space="preserve"> n</t>
    </r>
  </si>
  <si>
    <t xml:space="preserve">df = </t>
  </si>
  <si>
    <t>Sample</t>
  </si>
  <si>
    <t>Single obs</t>
  </si>
  <si>
    <r>
      <t xml:space="preserve">if </t>
    </r>
    <r>
      <rPr>
        <b/>
        <sz val="14"/>
        <color theme="1"/>
        <rFont val="Calibri"/>
        <family val="2"/>
        <scheme val="minor"/>
      </rPr>
      <t>n&gt;&gt;1</t>
    </r>
    <r>
      <rPr>
        <sz val="14"/>
        <color theme="1"/>
        <rFont val="Calibri"/>
        <family val="2"/>
        <scheme val="minor"/>
      </rPr>
      <t xml:space="preserve">, </t>
    </r>
    <r>
      <rPr>
        <b/>
        <sz val="14"/>
        <color theme="1"/>
        <rFont val="Calibri"/>
        <family val="2"/>
        <scheme val="minor"/>
      </rPr>
      <t>t = (u1 - u2)/s1</t>
    </r>
  </si>
  <si>
    <r>
      <t xml:space="preserve">Unequal </t>
    </r>
    <r>
      <rPr>
        <b/>
        <i/>
        <sz val="16"/>
        <color theme="1"/>
        <rFont val="Calibri"/>
        <family val="2"/>
        <scheme val="minor"/>
      </rPr>
      <t>n</t>
    </r>
  </si>
  <si>
    <t>Lithuanians</t>
  </si>
  <si>
    <t>Malays</t>
  </si>
  <si>
    <t>Māori</t>
  </si>
  <si>
    <t>Mayans</t>
  </si>
  <si>
    <t>Moros</t>
  </si>
  <si>
    <t>Navajo Indians</t>
  </si>
  <si>
    <t>Observed</t>
  </si>
  <si>
    <t>Estimate^</t>
  </si>
  <si>
    <t>Correction</t>
  </si>
  <si>
    <t>Estimate*</t>
  </si>
  <si>
    <t>Expected*</t>
  </si>
  <si>
    <t>Item</t>
  </si>
  <si>
    <t>Group</t>
  </si>
  <si>
    <t xml:space="preserve">A </t>
  </si>
  <si>
    <t xml:space="preserve">B </t>
  </si>
  <si>
    <t xml:space="preserve">AB </t>
  </si>
  <si>
    <t xml:space="preserve">O </t>
  </si>
  <si>
    <t>A</t>
  </si>
  <si>
    <t>B</t>
  </si>
  <si>
    <t>O</t>
  </si>
  <si>
    <t>D</t>
  </si>
  <si>
    <t>AB</t>
  </si>
  <si>
    <r>
      <t xml:space="preserve">I * </t>
    </r>
    <r>
      <rPr>
        <b/>
        <i/>
        <sz val="14"/>
        <color theme="1"/>
        <rFont val="Calibri"/>
        <family val="2"/>
        <scheme val="minor"/>
      </rPr>
      <t>ln I</t>
    </r>
  </si>
  <si>
    <r>
      <t xml:space="preserve">II * </t>
    </r>
    <r>
      <rPr>
        <b/>
        <i/>
        <sz val="14"/>
        <color theme="1"/>
        <rFont val="Calibri"/>
        <family val="2"/>
        <scheme val="minor"/>
      </rPr>
      <t>ln II</t>
    </r>
  </si>
  <si>
    <t>Type</t>
  </si>
  <si>
    <t>d^2/Y</t>
  </si>
  <si>
    <t>Aboriginal people</t>
  </si>
  <si>
    <t>Abyssinians</t>
  </si>
  <si>
    <t>Ainu (Japan)</t>
  </si>
  <si>
    <t>Albanians</t>
  </si>
  <si>
    <t>Grand Andamanese</t>
  </si>
  <si>
    <t>Arabs</t>
  </si>
  <si>
    <t>Armenians</t>
  </si>
  <si>
    <t>Asian Americans</t>
  </si>
  <si>
    <t>Austrians</t>
  </si>
  <si>
    <t>Bantus</t>
  </si>
  <si>
    <t>Basques</t>
  </si>
  <si>
    <t>Belgians</t>
  </si>
  <si>
    <t>Bororo (Brazil)</t>
  </si>
  <si>
    <t>Brazilians</t>
  </si>
  <si>
    <t>Bulgarians</t>
  </si>
  <si>
    <t>Burmese</t>
  </si>
  <si>
    <t>Buryats (Siberia)</t>
  </si>
  <si>
    <t>Bushmen</t>
  </si>
  <si>
    <t>Chinese-Canton</t>
  </si>
  <si>
    <t>Chinese-Ningbo</t>
  </si>
  <si>
    <t>Chinese-Yangzhou</t>
  </si>
  <si>
    <t>Chinese-Peking</t>
  </si>
  <si>
    <t>Chuvash</t>
  </si>
  <si>
    <t>Croats</t>
  </si>
  <si>
    <t>Czechs</t>
  </si>
  <si>
    <t>Danes</t>
  </si>
  <si>
    <t>Dutch</t>
  </si>
  <si>
    <t>Egyptians</t>
  </si>
  <si>
    <t>English</t>
  </si>
  <si>
    <t>Inuit (Alaska)</t>
  </si>
  <si>
    <t>Inuit (Greenland) corrected</t>
  </si>
  <si>
    <t>Inuit (Greenland)</t>
  </si>
  <si>
    <t>Estonians</t>
  </si>
  <si>
    <t>Fijians</t>
  </si>
  <si>
    <t>Finns</t>
  </si>
  <si>
    <t>French</t>
  </si>
  <si>
    <t>Georgians</t>
  </si>
  <si>
    <t>Germans</t>
  </si>
  <si>
    <t>Greeks</t>
  </si>
  <si>
    <t>Romani people (Hungary)</t>
  </si>
  <si>
    <t>Hawaiians</t>
  </si>
  <si>
    <t>Hindus (Bombay)</t>
  </si>
  <si>
    <t>Hungarians</t>
  </si>
  <si>
    <t>Icelanders</t>
  </si>
  <si>
    <t>Indians (India)</t>
  </si>
  <si>
    <t>Native Americans</t>
  </si>
  <si>
    <t>Irish</t>
  </si>
  <si>
    <t>Italians (Milan)</t>
  </si>
  <si>
    <t>Japanese</t>
  </si>
  <si>
    <t>Jews (Germany)</t>
  </si>
  <si>
    <t>Jews (Poland)</t>
  </si>
  <si>
    <t>Kalmuks</t>
  </si>
  <si>
    <t>Kikuyu (Kenya)</t>
  </si>
  <si>
    <t>Koreans</t>
  </si>
  <si>
    <t>Sami people</t>
  </si>
  <si>
    <t>Latvians</t>
  </si>
  <si>
    <t>Nicobarese</t>
  </si>
  <si>
    <t>Norwegians</t>
  </si>
  <si>
    <t>Papuans (New Guinea)</t>
  </si>
  <si>
    <t>Persians</t>
  </si>
  <si>
    <t>Peruvian Indians</t>
  </si>
  <si>
    <t>Filipinos</t>
  </si>
  <si>
    <t>Poles</t>
  </si>
  <si>
    <t>Portuguese</t>
  </si>
  <si>
    <t>Romanians</t>
  </si>
  <si>
    <t>Russians</t>
  </si>
  <si>
    <t>Sardinians</t>
  </si>
  <si>
    <t>Scots</t>
  </si>
  <si>
    <t>Serbians</t>
  </si>
  <si>
    <t>Shompen Nicobarese</t>
  </si>
  <si>
    <t>Slovaks</t>
  </si>
  <si>
    <t>South Africans</t>
  </si>
  <si>
    <t>Spanish</t>
  </si>
  <si>
    <t>Sudanese</t>
  </si>
  <si>
    <t>Swedish</t>
  </si>
  <si>
    <t>Swiss</t>
  </si>
  <si>
    <t>Tatars</t>
  </si>
  <si>
    <t>Thais</t>
  </si>
  <si>
    <t>Turks</t>
  </si>
  <si>
    <t>Ukrainians</t>
  </si>
  <si>
    <t>Black Americans</t>
  </si>
  <si>
    <t>White Americans</t>
  </si>
  <si>
    <t>Vietnamese</t>
  </si>
  <si>
    <t>C&amp;S 1971 Pygmies, CAR</t>
  </si>
  <si>
    <t>Korean</t>
  </si>
  <si>
    <t>German</t>
  </si>
  <si>
    <r>
      <rPr>
        <b/>
        <i/>
        <sz val="14"/>
        <color rgb="FFFF0000"/>
        <rFont val="Calibri"/>
        <family val="2"/>
        <scheme val="minor"/>
      </rPr>
      <t>X</t>
    </r>
    <r>
      <rPr>
        <b/>
        <sz val="14"/>
        <color rgb="FFFF0000"/>
        <rFont val="Calibri"/>
        <family val="2"/>
        <scheme val="minor"/>
      </rPr>
      <t>^2 =</t>
    </r>
  </si>
  <si>
    <r>
      <t>Single-Classification ANOVA with equal sample size</t>
    </r>
    <r>
      <rPr>
        <sz val="12"/>
        <color theme="1"/>
        <rFont val="Calibri"/>
        <family val="2"/>
        <scheme val="minor"/>
      </rPr>
      <t xml:space="preserve"> (from Sokal &amp; Rohlf 1969)</t>
    </r>
  </si>
  <si>
    <r>
      <t>Pearson Chi-Square test</t>
    </r>
    <r>
      <rPr>
        <sz val="12"/>
        <color theme="1"/>
        <rFont val="Calibri"/>
        <family val="2"/>
        <scheme val="minor"/>
      </rPr>
      <t xml:space="preserve"> (after Sokal &amp; Rohlf 1969)</t>
    </r>
  </si>
  <si>
    <t>p =</t>
  </si>
  <si>
    <r>
      <t>0.05</t>
    </r>
    <r>
      <rPr>
        <b/>
        <sz val="16"/>
        <color rgb="FFFF0000"/>
        <rFont val="Calibri"/>
        <family val="2"/>
        <scheme val="minor"/>
      </rPr>
      <t>*</t>
    </r>
  </si>
  <si>
    <r>
      <t>0.01</t>
    </r>
    <r>
      <rPr>
        <b/>
        <sz val="16"/>
        <color rgb="FFFF0000"/>
        <rFont val="Calibri"/>
        <family val="2"/>
        <scheme val="minor"/>
      </rPr>
      <t>**</t>
    </r>
  </si>
  <si>
    <r>
      <t>0.001</t>
    </r>
    <r>
      <rPr>
        <b/>
        <sz val="16"/>
        <color rgb="FFFF0000"/>
        <rFont val="Calibri"/>
        <family val="2"/>
        <scheme val="minor"/>
      </rPr>
      <t>***</t>
    </r>
  </si>
  <si>
    <t>d^2</t>
  </si>
  <si>
    <t>d^2/X</t>
  </si>
  <si>
    <t>Zazit</t>
  </si>
  <si>
    <t>Yekko</t>
  </si>
  <si>
    <t>Thnadners</t>
  </si>
  <si>
    <t>Spazzim</t>
  </si>
  <si>
    <t>Nutches</t>
  </si>
  <si>
    <t>Glikkers</t>
  </si>
  <si>
    <t>*,**,***</t>
  </si>
  <si>
    <t>NN</t>
  </si>
  <si>
    <t>MN</t>
  </si>
  <si>
    <t>MM</t>
  </si>
  <si>
    <t>p</t>
  </si>
  <si>
    <t>f(genotypes)</t>
  </si>
  <si>
    <t xml:space="preserve">F=(Ho-He)/He= </t>
  </si>
  <si>
    <t>H(exp)=</t>
  </si>
  <si>
    <t>H(obs)=</t>
  </si>
  <si>
    <t>TT</t>
  </si>
  <si>
    <t>GT</t>
  </si>
  <si>
    <t>GG</t>
  </si>
  <si>
    <t>CG</t>
  </si>
  <si>
    <t>CC</t>
  </si>
  <si>
    <t>AT</t>
  </si>
  <si>
    <t>T</t>
  </si>
  <si>
    <t>AG</t>
  </si>
  <si>
    <t>AC</t>
  </si>
  <si>
    <t>C</t>
  </si>
  <si>
    <t>AA</t>
  </si>
  <si>
    <r>
      <rPr>
        <b/>
        <i/>
        <sz val="14"/>
        <color indexed="8"/>
        <rFont val="Calibri"/>
        <family val="2"/>
      </rPr>
      <t>X</t>
    </r>
    <r>
      <rPr>
        <b/>
        <sz val="14"/>
        <color indexed="8"/>
        <rFont val="Calibri"/>
        <family val="2"/>
      </rPr>
      <t>^2</t>
    </r>
  </si>
  <si>
    <t>Count' (exp)</t>
  </si>
  <si>
    <t>f(exp)</t>
  </si>
  <si>
    <t>genotype'</t>
  </si>
  <si>
    <t>f(allele)</t>
  </si>
  <si>
    <t>count</t>
  </si>
  <si>
    <t>allele</t>
  </si>
  <si>
    <t>f (obs)</t>
  </si>
  <si>
    <t>Count (obs)</t>
  </si>
  <si>
    <t>genotype</t>
  </si>
  <si>
    <t>Chi-Square calculations for up to 4 SNP variants at a segregating site</t>
  </si>
  <si>
    <r>
      <t xml:space="preserve">G-Test of independence for A B AB O data </t>
    </r>
    <r>
      <rPr>
        <sz val="14"/>
        <color theme="1"/>
        <rFont val="Calibri"/>
        <family val="2"/>
        <scheme val="minor"/>
      </rPr>
      <t>(after Sokal &amp; Rohlf 2012, pp 753-754)</t>
    </r>
  </si>
  <si>
    <r>
      <t xml:space="preserve">The </t>
    </r>
    <r>
      <rPr>
        <b/>
        <sz val="14"/>
        <color theme="1"/>
        <rFont val="Calibri"/>
        <family val="2"/>
        <scheme val="minor"/>
      </rPr>
      <t>RxC</t>
    </r>
    <r>
      <rPr>
        <sz val="14"/>
        <color theme="1"/>
        <rFont val="Calibri"/>
        <family val="2"/>
        <scheme val="minor"/>
      </rPr>
      <t xml:space="preserve"> test here is </t>
    </r>
    <r>
      <rPr>
        <i/>
        <sz val="14"/>
        <color theme="1"/>
        <rFont val="Calibri"/>
        <family val="2"/>
        <scheme val="minor"/>
      </rPr>
      <t>four</t>
    </r>
    <r>
      <rPr>
        <sz val="14"/>
        <color theme="1"/>
        <rFont val="Calibri"/>
        <family val="2"/>
        <scheme val="minor"/>
      </rPr>
      <t xml:space="preserve"> blood types in </t>
    </r>
    <r>
      <rPr>
        <i/>
        <sz val="14"/>
        <color theme="1"/>
        <rFont val="Calibri"/>
        <family val="2"/>
        <scheme val="minor"/>
      </rPr>
      <t>two</t>
    </r>
    <r>
      <rPr>
        <sz val="14"/>
        <color theme="1"/>
        <rFont val="Calibri"/>
        <family val="2"/>
        <scheme val="minor"/>
      </rPr>
      <t xml:space="preserve"> populations</t>
    </r>
  </si>
  <si>
    <r>
      <rPr>
        <sz val="14"/>
        <color theme="1"/>
        <rFont val="Calibri"/>
        <family val="2"/>
        <scheme val="minor"/>
      </rPr>
      <t>Given the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i/>
        <sz val="14"/>
        <color theme="1"/>
        <rFont val="Calibri"/>
        <family val="2"/>
        <scheme val="minor"/>
      </rPr>
      <t>Observed</t>
    </r>
    <r>
      <rPr>
        <b/>
        <sz val="14"/>
        <color theme="1"/>
        <rFont val="Calibri"/>
        <family val="2"/>
        <scheme val="minor"/>
      </rPr>
      <t xml:space="preserve"> data, </t>
    </r>
  </si>
  <si>
    <r>
      <rPr>
        <i/>
        <sz val="14"/>
        <color theme="1"/>
        <rFont val="Calibri"/>
        <family val="2"/>
        <scheme val="minor"/>
      </rPr>
      <t>Expected^</t>
    </r>
    <r>
      <rPr>
        <sz val="14"/>
        <color theme="1"/>
        <rFont val="Calibri"/>
        <family val="2"/>
        <scheme val="minor"/>
      </rPr>
      <t xml:space="preserve"> data for </t>
    </r>
    <r>
      <rPr>
        <b/>
        <sz val="14"/>
        <color theme="1"/>
        <rFont val="Calibri"/>
        <family val="2"/>
        <scheme val="minor"/>
      </rPr>
      <t>A B AB O</t>
    </r>
    <r>
      <rPr>
        <sz val="14"/>
        <color theme="1"/>
        <rFont val="Calibri"/>
        <family val="2"/>
        <scheme val="minor"/>
      </rPr>
      <t xml:space="preserve"> are calculated from </t>
    </r>
  </si>
  <si>
    <r>
      <t xml:space="preserve">the </t>
    </r>
    <r>
      <rPr>
        <b/>
        <i/>
        <sz val="14"/>
        <color theme="1"/>
        <rFont val="Calibri"/>
        <family val="2"/>
        <scheme val="minor"/>
      </rPr>
      <t>likelihood estimates^</t>
    </r>
    <r>
      <rPr>
        <sz val="14"/>
        <color theme="1"/>
        <rFont val="Calibri"/>
        <family val="2"/>
        <scheme val="minor"/>
      </rPr>
      <t xml:space="preserve"> of </t>
    </r>
    <r>
      <rPr>
        <b/>
        <sz val="14"/>
        <color theme="1"/>
        <rFont val="Calibri"/>
        <family val="2"/>
        <scheme val="minor"/>
      </rPr>
      <t>A B  O</t>
    </r>
  </si>
  <si>
    <r>
      <t xml:space="preserve">(Note: Row data have to be transposed to column data to fit in </t>
    </r>
    <r>
      <rPr>
        <b/>
        <sz val="14"/>
        <color theme="1"/>
        <rFont val="Calibri"/>
        <family val="2"/>
        <scheme val="minor"/>
      </rPr>
      <t>B9:C12</t>
    </r>
    <r>
      <rPr>
        <sz val="14"/>
        <color theme="1"/>
        <rFont val="Calibri"/>
        <family val="2"/>
        <scheme val="minor"/>
      </rPr>
      <t xml:space="preserve"> block</t>
    </r>
  </si>
  <si>
    <t>n @</t>
  </si>
  <si>
    <t>row Σ</t>
  </si>
  <si>
    <t>-</t>
  </si>
  <si>
    <t>= sum (cell * ln(cell) )</t>
  </si>
  <si>
    <t>= sum ( Σ* lnΣ )</t>
  </si>
  <si>
    <r>
      <t>= sum (I*</t>
    </r>
    <r>
      <rPr>
        <i/>
        <sz val="14"/>
        <color theme="1"/>
        <rFont val="Calibri"/>
        <family val="2"/>
        <scheme val="minor"/>
      </rPr>
      <t>ln</t>
    </r>
    <r>
      <rPr>
        <sz val="14"/>
        <color theme="1"/>
        <rFont val="Calibri"/>
        <family val="2"/>
        <scheme val="minor"/>
      </rPr>
      <t>I) + sum(II*</t>
    </r>
    <r>
      <rPr>
        <i/>
        <sz val="14"/>
        <color theme="1"/>
        <rFont val="Calibri"/>
        <family val="2"/>
        <scheme val="minor"/>
      </rPr>
      <t>ln</t>
    </r>
    <r>
      <rPr>
        <sz val="14"/>
        <color theme="1"/>
        <rFont val="Calibri"/>
        <family val="2"/>
        <scheme val="minor"/>
      </rPr>
      <t>lI)</t>
    </r>
  </si>
  <si>
    <r>
      <rPr>
        <sz val="14"/>
        <color rgb="FFFF0000"/>
        <rFont val="Calibri"/>
        <family val="2"/>
        <scheme val="minor"/>
      </rPr>
      <t>=</t>
    </r>
    <r>
      <rPr>
        <b/>
        <sz val="14"/>
        <color rgb="FFFF0000"/>
        <rFont val="Calibri"/>
        <family val="2"/>
        <scheme val="minor"/>
      </rPr>
      <t xml:space="preserve"> G</t>
    </r>
  </si>
  <si>
    <t>= 2[sum of cell transforms - (sums of row &amp; column transforms) + sum of sum transform]</t>
  </si>
  <si>
    <t>0.05*</t>
  </si>
  <si>
    <t>0.01**</t>
  </si>
  <si>
    <t>0.001***</t>
  </si>
  <si>
    <t>df = 3</t>
  </si>
  <si>
    <t>Expected^</t>
  </si>
  <si>
    <t>Sample:</t>
  </si>
  <si>
    <t>*</t>
  </si>
  <si>
    <t>***</t>
  </si>
  <si>
    <r>
      <t>0.05</t>
    </r>
    <r>
      <rPr>
        <b/>
        <sz val="14"/>
        <color rgb="FFFF0000"/>
        <rFont val="Calibri"/>
        <family val="2"/>
        <scheme val="minor"/>
      </rPr>
      <t>*</t>
    </r>
  </si>
  <si>
    <r>
      <t>0.01</t>
    </r>
    <r>
      <rPr>
        <b/>
        <sz val="14"/>
        <color rgb="FFFF0000"/>
        <rFont val="Calibri"/>
        <family val="2"/>
        <scheme val="minor"/>
      </rPr>
      <t>**</t>
    </r>
  </si>
  <si>
    <r>
      <t>0.001</t>
    </r>
    <r>
      <rPr>
        <b/>
        <sz val="14"/>
        <color rgb="FFFF0000"/>
        <rFont val="Calibri"/>
        <family val="2"/>
        <scheme val="minor"/>
      </rPr>
      <t>***</t>
    </r>
  </si>
  <si>
    <t>Sample data, with Williams Correction (* values)</t>
  </si>
  <si>
    <r>
      <rPr>
        <sz val="14"/>
        <color theme="1"/>
        <rFont val="Calibri"/>
        <family val="2"/>
        <scheme val="minor"/>
      </rPr>
      <t xml:space="preserve">The </t>
    </r>
    <r>
      <rPr>
        <b/>
        <sz val="14"/>
        <color theme="1"/>
        <rFont val="Calibri"/>
        <family val="2"/>
        <scheme val="minor"/>
      </rPr>
      <t>G-test</t>
    </r>
    <r>
      <rPr>
        <sz val="14"/>
        <color theme="1"/>
        <rFont val="Calibri"/>
        <family val="2"/>
        <scheme val="minor"/>
      </rPr>
      <t xml:space="preserve"> transforms cell values </t>
    </r>
    <r>
      <rPr>
        <b/>
        <sz val="14"/>
        <color theme="1"/>
        <rFont val="Calibri"/>
        <family val="2"/>
        <scheme val="minor"/>
      </rPr>
      <t>X</t>
    </r>
    <r>
      <rPr>
        <sz val="14"/>
        <color theme="1"/>
        <rFont val="Calibri"/>
        <family val="2"/>
        <scheme val="minor"/>
      </rPr>
      <t xml:space="preserve"> as </t>
    </r>
    <r>
      <rPr>
        <b/>
        <sz val="14"/>
        <color theme="1"/>
        <rFont val="Calibri"/>
        <family val="2"/>
        <scheme val="minor"/>
      </rPr>
      <t>X</t>
    </r>
    <r>
      <rPr>
        <i/>
        <sz val="14"/>
        <color theme="1"/>
        <rFont val="Calibri"/>
        <family val="2"/>
        <scheme val="minor"/>
      </rPr>
      <t>ln</t>
    </r>
    <r>
      <rPr>
        <b/>
        <i/>
        <sz val="14"/>
        <color theme="1"/>
        <rFont val="Calibri"/>
        <family val="2"/>
        <scheme val="minor"/>
      </rPr>
      <t>X</t>
    </r>
    <r>
      <rPr>
        <sz val="14"/>
        <color theme="1"/>
        <rFont val="Calibri"/>
        <family val="2"/>
        <scheme val="minor"/>
      </rPr>
      <t>, prior to a Row x Column (RxC) test of independence</t>
    </r>
  </si>
  <si>
    <t>ns</t>
  </si>
  <si>
    <t>df = 1</t>
  </si>
  <si>
    <t>z</t>
  </si>
  <si>
    <t>Confidence Level</t>
  </si>
  <si>
    <t>One-Tailed Test</t>
  </si>
  <si>
    <t>Two-Tailed Test</t>
  </si>
  <si>
    <r>
      <t>Critical Values of Student's</t>
    </r>
    <r>
      <rPr>
        <b/>
        <i/>
        <sz val="14"/>
        <color theme="1"/>
        <rFont val="Calibri"/>
        <family val="2"/>
        <scheme val="minor"/>
      </rPr>
      <t xml:space="preserve"> t</t>
    </r>
    <r>
      <rPr>
        <b/>
        <sz val="14"/>
        <color theme="1"/>
        <rFont val="Calibri"/>
        <family val="2"/>
        <scheme val="minor"/>
      </rPr>
      <t>-distribution, for One- &amp; Two-tailed tests</t>
    </r>
  </si>
  <si>
    <r>
      <t>Student's</t>
    </r>
    <r>
      <rPr>
        <b/>
        <i/>
        <sz val="16"/>
        <color theme="1"/>
        <rFont val="Calibri"/>
        <family val="2"/>
        <scheme val="minor"/>
      </rPr>
      <t xml:space="preserve"> t </t>
    </r>
    <r>
      <rPr>
        <b/>
        <sz val="16"/>
        <color theme="1"/>
        <rFont val="Calibri"/>
        <family val="2"/>
        <scheme val="minor"/>
      </rPr>
      <t xml:space="preserve">test, with equal or unequal sample sizes, or single observations </t>
    </r>
    <r>
      <rPr>
        <sz val="12"/>
        <color theme="1"/>
        <rFont val="Calibri"/>
        <family val="2"/>
        <scheme val="minor"/>
      </rPr>
      <t>(after Sokal &amp; Rohlf 1969)</t>
    </r>
  </si>
  <si>
    <r>
      <t xml:space="preserve">Consult table of </t>
    </r>
    <r>
      <rPr>
        <b/>
        <sz val="14"/>
        <color rgb="FF0070C0"/>
        <rFont val="Calibri"/>
        <family val="2"/>
        <scheme val="minor"/>
      </rPr>
      <t>Critical Values</t>
    </r>
  </si>
  <si>
    <t>Estimated^</t>
  </si>
  <si>
    <t>Estimated*</t>
  </si>
  <si>
    <r>
      <rPr>
        <sz val="14"/>
        <color rgb="FFFF6699"/>
        <rFont val="Calibri"/>
        <family val="2"/>
        <scheme val="minor"/>
      </rPr>
      <t>=</t>
    </r>
    <r>
      <rPr>
        <b/>
        <sz val="14"/>
        <color rgb="FFFF6699"/>
        <rFont val="Calibri"/>
        <family val="2"/>
        <scheme val="minor"/>
      </rPr>
      <t xml:space="preserve"> G</t>
    </r>
  </si>
  <si>
    <t>Williams' Correction for A B AB O</t>
  </si>
  <si>
    <r>
      <rPr>
        <b/>
        <i/>
        <sz val="14"/>
        <color theme="1"/>
        <rFont val="Calibri"/>
        <family val="2"/>
        <scheme val="minor"/>
      </rPr>
      <t>t'</t>
    </r>
    <r>
      <rPr>
        <b/>
        <sz val="14"/>
        <color theme="1"/>
        <rFont val="Calibri"/>
        <family val="2"/>
        <scheme val="minor"/>
      </rPr>
      <t xml:space="preserve"> = </t>
    </r>
  </si>
  <si>
    <r>
      <rPr>
        <b/>
        <sz val="16"/>
        <color rgb="FFFF0000"/>
        <rFont val="Calibri"/>
        <family val="2"/>
        <scheme val="minor"/>
      </rPr>
      <t>F</t>
    </r>
    <r>
      <rPr>
        <sz val="16"/>
        <color theme="1"/>
        <rFont val="Calibri"/>
        <family val="2"/>
        <scheme val="minor"/>
      </rPr>
      <t xml:space="preserve"> = </t>
    </r>
    <r>
      <rPr>
        <b/>
        <sz val="16"/>
        <color theme="1"/>
        <rFont val="Calibri"/>
        <family val="2"/>
        <scheme val="minor"/>
      </rPr>
      <t>Explained</t>
    </r>
    <r>
      <rPr>
        <sz val="16"/>
        <color theme="1"/>
        <rFont val="Calibri"/>
        <family val="2"/>
        <scheme val="minor"/>
      </rPr>
      <t xml:space="preserve"> MS (bx samples) / </t>
    </r>
    <r>
      <rPr>
        <b/>
        <sz val="16"/>
        <color theme="1"/>
        <rFont val="Calibri"/>
        <family val="2"/>
        <scheme val="minor"/>
      </rPr>
      <t>Error</t>
    </r>
    <r>
      <rPr>
        <sz val="16"/>
        <color theme="1"/>
        <rFont val="Calibri"/>
        <family val="2"/>
        <scheme val="minor"/>
      </rPr>
      <t xml:space="preserve"> MS (w/i samples)</t>
    </r>
  </si>
  <si>
    <r>
      <rPr>
        <b/>
        <sz val="16"/>
        <color indexed="8"/>
        <rFont val="Calibri"/>
        <family val="2"/>
      </rPr>
      <t xml:space="preserve">Chi-square calculations for a segregating site </t>
    </r>
    <r>
      <rPr>
        <sz val="16"/>
        <color indexed="8"/>
        <rFont val="Calibri"/>
        <family val="2"/>
      </rPr>
      <t xml:space="preserve">with 2, 3, or 4 </t>
    </r>
    <r>
      <rPr>
        <b/>
        <sz val="16"/>
        <color indexed="8"/>
        <rFont val="Calibri"/>
        <family val="2"/>
      </rPr>
      <t>SNP</t>
    </r>
    <r>
      <rPr>
        <sz val="16"/>
        <color indexed="8"/>
        <rFont val="Calibri"/>
        <family val="2"/>
      </rPr>
      <t xml:space="preserve"> variants (</t>
    </r>
    <r>
      <rPr>
        <b/>
        <sz val="16"/>
        <color indexed="8"/>
        <rFont val="Calibri"/>
        <family val="2"/>
      </rPr>
      <t>alleles</t>
    </r>
    <r>
      <rPr>
        <sz val="16"/>
        <color indexed="8"/>
        <rFont val="Calibri"/>
        <family val="2"/>
      </rPr>
      <t>).</t>
    </r>
  </si>
  <si>
    <r>
      <t xml:space="preserve">I) </t>
    </r>
    <r>
      <rPr>
        <sz val="16"/>
        <color indexed="8"/>
        <rFont val="Calibri"/>
        <family val="2"/>
      </rPr>
      <t xml:space="preserve">For diploid data sets with </t>
    </r>
    <r>
      <rPr>
        <b/>
        <sz val="16"/>
        <color indexed="8"/>
        <rFont val="Calibri"/>
        <family val="2"/>
      </rPr>
      <t>2</t>
    </r>
    <r>
      <rPr>
        <sz val="16"/>
        <color indexed="8"/>
        <rFont val="Calibri"/>
        <family val="2"/>
      </rPr>
      <t xml:space="preserve"> alleles</t>
    </r>
    <r>
      <rPr>
        <sz val="14"/>
        <color indexed="8"/>
        <rFont val="Calibri"/>
        <family val="2"/>
      </rPr>
      <t xml:space="preserve">, enter the observed </t>
    </r>
    <r>
      <rPr>
        <b/>
        <sz val="14"/>
        <color rgb="FF000000"/>
        <rFont val="Calibri"/>
        <family val="2"/>
      </rPr>
      <t>counts</t>
    </r>
    <r>
      <rPr>
        <sz val="14"/>
        <color indexed="8"/>
        <rFont val="Calibri"/>
        <family val="2"/>
      </rPr>
      <t xml:space="preserve"> of the two homozygote and one heterozygote classes, for the apropriate bases</t>
    </r>
  </si>
  <si>
    <t>The spreadsheet calculates:</t>
  </si>
  <si>
    <r>
      <t xml:space="preserve">The </t>
    </r>
    <r>
      <rPr>
        <i/>
        <sz val="14"/>
        <color indexed="8"/>
        <rFont val="Calibri"/>
        <family val="2"/>
      </rPr>
      <t>observed</t>
    </r>
    <r>
      <rPr>
        <sz val="14"/>
        <color indexed="8"/>
        <rFont val="Calibri"/>
        <family val="2"/>
      </rPr>
      <t xml:space="preserve"> genotype frequencies </t>
    </r>
    <r>
      <rPr>
        <b/>
        <sz val="14"/>
        <color indexed="8"/>
        <rFont val="Calibri"/>
        <family val="2"/>
      </rPr>
      <t>f(obs)</t>
    </r>
    <r>
      <rPr>
        <sz val="14"/>
        <color indexed="8"/>
        <rFont val="Calibri"/>
        <family val="2"/>
      </rPr>
      <t>, allele counts (2 for either homozygote, 1 for each heterozygote), and allele frequencies.</t>
    </r>
  </si>
  <si>
    <r>
      <t xml:space="preserve">The </t>
    </r>
    <r>
      <rPr>
        <i/>
        <sz val="14"/>
        <color indexed="8"/>
        <rFont val="Calibri"/>
        <family val="2"/>
      </rPr>
      <t>expected</t>
    </r>
    <r>
      <rPr>
        <sz val="14"/>
        <color indexed="8"/>
        <rFont val="Calibri"/>
        <family val="2"/>
      </rPr>
      <t xml:space="preserve"> genotype frequencies </t>
    </r>
    <r>
      <rPr>
        <b/>
        <sz val="14"/>
        <color indexed="8"/>
        <rFont val="Calibri"/>
        <family val="2"/>
      </rPr>
      <t>f(exp)</t>
    </r>
    <r>
      <rPr>
        <sz val="14"/>
        <color indexed="8"/>
        <rFont val="Calibri"/>
        <family val="2"/>
      </rPr>
      <t xml:space="preserve">, and the </t>
    </r>
    <r>
      <rPr>
        <i/>
        <sz val="14"/>
        <color indexed="8"/>
        <rFont val="Calibri"/>
        <family val="2"/>
      </rPr>
      <t>expected</t>
    </r>
    <r>
      <rPr>
        <sz val="14"/>
        <color indexed="8"/>
        <rFont val="Calibri"/>
        <family val="2"/>
      </rPr>
      <t xml:space="preserve"> genotype </t>
    </r>
    <r>
      <rPr>
        <i/>
        <sz val="14"/>
        <color rgb="FF000000"/>
        <rFont val="Calibri"/>
        <family val="2"/>
      </rPr>
      <t>counts</t>
    </r>
  </si>
  <si>
    <r>
      <t xml:space="preserve">The Chi-square value for each genotype as </t>
    </r>
    <r>
      <rPr>
        <b/>
        <sz val="14"/>
        <color indexed="8"/>
        <rFont val="Calibri"/>
        <family val="2"/>
      </rPr>
      <t>d^2/f(exp) =  (count(obs) - count(exp))^2 / count(exp)</t>
    </r>
  </si>
  <si>
    <r>
      <rPr>
        <b/>
        <sz val="14"/>
        <color theme="1"/>
        <rFont val="Calibri"/>
        <family val="2"/>
        <scheme val="minor"/>
      </rPr>
      <t>d = exp - obs</t>
    </r>
    <r>
      <rPr>
        <sz val="14"/>
        <color theme="1"/>
        <rFont val="Calibri"/>
        <family val="2"/>
        <scheme val="minor"/>
      </rPr>
      <t xml:space="preserve"> means a positive deviation is an excess, and a negative deviation a deficiency</t>
    </r>
  </si>
  <si>
    <t>The total Chi-square value is the sum of the individual terms</t>
  </si>
  <si>
    <r>
      <t>A</t>
    </r>
    <r>
      <rPr>
        <b/>
        <sz val="14"/>
        <color theme="1"/>
        <rFont val="Calibri"/>
        <family val="2"/>
        <scheme val="minor"/>
      </rPr>
      <t xml:space="preserve"> two-classification</t>
    </r>
    <r>
      <rPr>
        <sz val="14"/>
        <color theme="1"/>
        <rFont val="Calibri"/>
        <family val="2"/>
        <scheme val="minor"/>
      </rPr>
      <t xml:space="preserve"> Chi-square (df = 1) is </t>
    </r>
    <r>
      <rPr>
        <b/>
        <i/>
        <sz val="14"/>
        <color rgb="FFFF0000"/>
        <rFont val="Calibri"/>
        <family val="2"/>
        <scheme val="minor"/>
      </rPr>
      <t>significant</t>
    </r>
    <r>
      <rPr>
        <sz val="14"/>
        <color theme="1"/>
        <rFont val="Calibri"/>
        <family val="2"/>
        <scheme val="minor"/>
      </rPr>
      <t xml:space="preserve"> at </t>
    </r>
    <r>
      <rPr>
        <b/>
        <sz val="14"/>
        <color rgb="FFFF0000"/>
        <rFont val="Calibri"/>
        <family val="2"/>
        <scheme val="minor"/>
      </rPr>
      <t>p = 0.05</t>
    </r>
    <r>
      <rPr>
        <sz val="14"/>
        <color theme="1"/>
        <rFont val="Calibri"/>
        <family val="2"/>
        <scheme val="minor"/>
      </rPr>
      <t xml:space="preserve"> if the Chi-square value </t>
    </r>
    <r>
      <rPr>
        <i/>
        <sz val="14"/>
        <color theme="1"/>
        <rFont val="Calibri"/>
        <family val="2"/>
        <scheme val="minor"/>
      </rPr>
      <t>exceeds</t>
    </r>
    <r>
      <rPr>
        <sz val="14"/>
        <color theme="1"/>
        <rFont val="Calibri"/>
        <family val="2"/>
        <scheme val="minor"/>
      </rPr>
      <t xml:space="preserve"> the </t>
    </r>
    <r>
      <rPr>
        <b/>
        <sz val="14"/>
        <color rgb="FFFF0000"/>
        <rFont val="Calibri"/>
        <family val="2"/>
        <scheme val="minor"/>
      </rPr>
      <t>critical value</t>
    </r>
    <r>
      <rPr>
        <sz val="14"/>
        <color theme="1"/>
        <rFont val="Calibri"/>
        <family val="2"/>
        <scheme val="minor"/>
      </rPr>
      <t xml:space="preserve"> of </t>
    </r>
    <r>
      <rPr>
        <b/>
        <sz val="14"/>
        <color indexed="8"/>
        <rFont val="Calibri"/>
        <family val="2"/>
      </rPr>
      <t>3.841</t>
    </r>
  </si>
  <si>
    <t>Consult the table of critical values below for other confidence levels</t>
  </si>
  <si>
    <r>
      <t xml:space="preserve">The </t>
    </r>
    <r>
      <rPr>
        <b/>
        <sz val="14"/>
        <color indexed="8"/>
        <rFont val="Calibri"/>
        <family val="2"/>
      </rPr>
      <t>Inbreeding Coefficient F = ( H(obs) - H(exp)  ) / H(exp)</t>
    </r>
  </si>
  <si>
    <r>
      <t xml:space="preserve">II) </t>
    </r>
    <r>
      <rPr>
        <sz val="16"/>
        <color indexed="8"/>
        <rFont val="Calibri"/>
        <family val="2"/>
      </rPr>
      <t xml:space="preserve">For diploid data sets with </t>
    </r>
    <r>
      <rPr>
        <b/>
        <sz val="16"/>
        <color indexed="8"/>
        <rFont val="Calibri"/>
        <family val="2"/>
      </rPr>
      <t>3</t>
    </r>
    <r>
      <rPr>
        <sz val="16"/>
        <color indexed="8"/>
        <rFont val="Calibri"/>
        <family val="2"/>
      </rPr>
      <t xml:space="preserve"> or </t>
    </r>
    <r>
      <rPr>
        <b/>
        <sz val="16"/>
        <color indexed="8"/>
        <rFont val="Calibri"/>
        <family val="2"/>
      </rPr>
      <t>4</t>
    </r>
    <r>
      <rPr>
        <sz val="16"/>
        <color indexed="8"/>
        <rFont val="Calibri"/>
        <family val="2"/>
      </rPr>
      <t xml:space="preserve"> allelic variants</t>
    </r>
    <r>
      <rPr>
        <sz val="14"/>
        <color indexed="8"/>
        <rFont val="Calibri"/>
        <family val="2"/>
      </rPr>
      <t xml:space="preserve">, enter the observed counts for all </t>
    </r>
    <r>
      <rPr>
        <b/>
        <sz val="14"/>
        <color indexed="8"/>
        <rFont val="Calibri"/>
        <family val="2"/>
      </rPr>
      <t>6</t>
    </r>
    <r>
      <rPr>
        <sz val="14"/>
        <color indexed="8"/>
        <rFont val="Calibri"/>
        <family val="2"/>
      </rPr>
      <t xml:space="preserve"> or </t>
    </r>
    <r>
      <rPr>
        <b/>
        <sz val="14"/>
        <color indexed="8"/>
        <rFont val="Calibri"/>
        <family val="2"/>
      </rPr>
      <t>10</t>
    </r>
    <r>
      <rPr>
        <sz val="14"/>
        <color indexed="8"/>
        <rFont val="Calibri"/>
        <family val="2"/>
      </rPr>
      <t xml:space="preserve"> genotypes, respectively</t>
    </r>
  </si>
  <si>
    <t>Calculations are performed as above.</t>
  </si>
  <si>
    <r>
      <t xml:space="preserve">Chi-square test3 with </t>
    </r>
    <r>
      <rPr>
        <b/>
        <sz val="14"/>
        <color indexed="8"/>
        <rFont val="Calibri"/>
        <family val="2"/>
      </rPr>
      <t>three</t>
    </r>
    <r>
      <rPr>
        <sz val="14"/>
        <color indexed="8"/>
        <rFont val="Calibri"/>
        <family val="2"/>
      </rPr>
      <t xml:space="preserve"> and </t>
    </r>
    <r>
      <rPr>
        <b/>
        <sz val="14"/>
        <color indexed="8"/>
        <rFont val="Calibri"/>
        <family val="2"/>
      </rPr>
      <t>four</t>
    </r>
    <r>
      <rPr>
        <sz val="14"/>
        <color indexed="8"/>
        <rFont val="Calibri"/>
        <family val="2"/>
      </rPr>
      <t xml:space="preserve"> alleles have df = </t>
    </r>
    <r>
      <rPr>
        <b/>
        <sz val="14"/>
        <color indexed="8"/>
        <rFont val="Calibri"/>
        <family val="2"/>
      </rPr>
      <t>2</t>
    </r>
    <r>
      <rPr>
        <sz val="14"/>
        <color indexed="8"/>
        <rFont val="Calibri"/>
        <family val="2"/>
      </rPr>
      <t xml:space="preserve"> and </t>
    </r>
    <r>
      <rPr>
        <b/>
        <sz val="14"/>
        <color indexed="8"/>
        <rFont val="Calibri"/>
        <family val="2"/>
      </rPr>
      <t>3</t>
    </r>
    <r>
      <rPr>
        <sz val="14"/>
        <color indexed="8"/>
        <rFont val="Calibri"/>
        <family val="2"/>
      </rPr>
      <t>, respectively.</t>
    </r>
  </si>
  <si>
    <t>Critical values of Chi-Square</t>
  </si>
  <si>
    <t>P of exceeding c.v.</t>
  </si>
  <si>
    <r>
      <t xml:space="preserve">III) Chi-square tests </t>
    </r>
    <r>
      <rPr>
        <b/>
        <i/>
        <sz val="16"/>
        <color rgb="FFFF0000"/>
        <rFont val="Calibri"/>
        <family val="2"/>
        <scheme val="minor"/>
      </rPr>
      <t>must</t>
    </r>
    <r>
      <rPr>
        <b/>
        <sz val="16"/>
        <color rgb="FFFF0000"/>
        <rFont val="Calibri"/>
        <family val="2"/>
        <scheme val="minor"/>
      </rPr>
      <t xml:space="preserve"> be done with Counts, </t>
    </r>
    <r>
      <rPr>
        <b/>
        <i/>
        <sz val="16"/>
        <color rgb="FFFF0000"/>
        <rFont val="Calibri"/>
        <family val="2"/>
        <scheme val="minor"/>
      </rPr>
      <t>not</t>
    </r>
    <r>
      <rPr>
        <b/>
        <sz val="16"/>
        <color rgb="FFFF0000"/>
        <rFont val="Calibri"/>
        <family val="2"/>
        <scheme val="minor"/>
      </rPr>
      <t xml:space="preserve"> frequencies</t>
    </r>
  </si>
  <si>
    <r>
      <t xml:space="preserve">IV) </t>
    </r>
    <r>
      <rPr>
        <b/>
        <i/>
        <sz val="16"/>
        <color theme="1"/>
        <rFont val="Calibri"/>
        <family val="2"/>
        <scheme val="minor"/>
      </rPr>
      <t>Expected</t>
    </r>
    <r>
      <rPr>
        <b/>
        <sz val="16"/>
        <color theme="1"/>
        <rFont val="Calibri"/>
        <family val="2"/>
        <scheme val="minor"/>
      </rPr>
      <t xml:space="preserve"> Counts</t>
    </r>
    <r>
      <rPr>
        <sz val="16"/>
        <color theme="1"/>
        <rFont val="Calibri"/>
        <family val="2"/>
        <scheme val="minor"/>
      </rPr>
      <t xml:space="preserve"> must be rounded to the nearest integer</t>
    </r>
  </si>
  <si>
    <t>Inuit (G'land)</t>
  </si>
  <si>
    <t>Sample Data</t>
  </si>
  <si>
    <r>
      <t xml:space="preserve">RXC Test of Independence with the G-test, including William's Correction </t>
    </r>
    <r>
      <rPr>
        <sz val="12"/>
        <color theme="1"/>
        <rFont val="Calibri"/>
        <family val="2"/>
        <scheme val="minor"/>
      </rPr>
      <t>(after Sokal &amp; Rohlf 2012, pp 753-754)</t>
    </r>
  </si>
  <si>
    <t xml:space="preserve"> </t>
  </si>
  <si>
    <r>
      <t xml:space="preserve">Estimation of A B O frequencies from A B AB O data, Likelihood </t>
    </r>
    <r>
      <rPr>
        <sz val="12"/>
        <color theme="1"/>
        <rFont val="Calibri"/>
        <family val="2"/>
        <scheme val="minor"/>
      </rPr>
      <t>method of Cavalli-Sforza &amp; Bodmer (1971), with Williams Correction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</si>
</sst>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0"/>
    <numFmt numFmtId="166" formatCode="0.000"/>
    <numFmt numFmtId="167" formatCode="0.0"/>
  </numFmts>
  <fonts count="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i/>
      <sz val="14"/>
      <color theme="1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00B050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8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8"/>
      <color theme="5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4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6699"/>
      <name val="Calibri"/>
      <family val="2"/>
      <scheme val="minor"/>
    </font>
    <font>
      <sz val="14"/>
      <color rgb="FFFF6699"/>
      <name val="Calibri"/>
      <family val="2"/>
      <scheme val="minor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8"/>
      <name val="Calibri"/>
      <family val="2"/>
    </font>
    <font>
      <b/>
      <sz val="14"/>
      <color rgb="FF000000"/>
      <name val="Calibri"/>
      <family val="2"/>
    </font>
    <font>
      <i/>
      <sz val="14"/>
      <color indexed="8"/>
      <name val="Calibri"/>
      <family val="2"/>
    </font>
    <font>
      <i/>
      <sz val="14"/>
      <color rgb="FF000000"/>
      <name val="Calibri"/>
      <family val="2"/>
    </font>
    <font>
      <b/>
      <i/>
      <sz val="16"/>
      <color rgb="FFFF0000"/>
      <name val="Calibri"/>
      <family val="2"/>
      <scheme val="minor"/>
    </font>
    <font>
      <i/>
      <sz val="14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DDCE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11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/>
    </xf>
    <xf numFmtId="0" fontId="4" fillId="3" borderId="1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0" xfId="0" applyFont="1"/>
    <xf numFmtId="2" fontId="3" fillId="0" borderId="0" xfId="0" applyNumberFormat="1" applyFont="1"/>
    <xf numFmtId="0" fontId="5" fillId="0" borderId="1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8" xfId="0" applyFont="1" applyBorder="1"/>
    <xf numFmtId="0" fontId="3" fillId="0" borderId="9" xfId="0" applyFont="1" applyBorder="1"/>
    <xf numFmtId="0" fontId="3" fillId="0" borderId="8" xfId="0" applyFont="1" applyBorder="1"/>
    <xf numFmtId="164" fontId="3" fillId="0" borderId="10" xfId="0" applyNumberFormat="1" applyFont="1" applyBorder="1"/>
    <xf numFmtId="0" fontId="2" fillId="0" borderId="11" xfId="0" applyFont="1" applyBorder="1"/>
    <xf numFmtId="0" fontId="3" fillId="0" borderId="12" xfId="0" applyFont="1" applyBorder="1"/>
    <xf numFmtId="0" fontId="3" fillId="0" borderId="11" xfId="0" applyFont="1" applyBorder="1"/>
    <xf numFmtId="164" fontId="3" fillId="0" borderId="0" xfId="0" applyNumberFormat="1" applyFont="1"/>
    <xf numFmtId="164" fontId="3" fillId="0" borderId="12" xfId="0" applyNumberFormat="1" applyFont="1" applyBorder="1"/>
    <xf numFmtId="0" fontId="2" fillId="0" borderId="13" xfId="0" applyFont="1" applyBorder="1"/>
    <xf numFmtId="0" fontId="3" fillId="0" borderId="14" xfId="0" applyFont="1" applyBorder="1"/>
    <xf numFmtId="0" fontId="3" fillId="0" borderId="13" xfId="0" applyFont="1" applyBorder="1"/>
    <xf numFmtId="164" fontId="3" fillId="0" borderId="15" xfId="0" applyNumberFormat="1" applyFont="1" applyBorder="1"/>
    <xf numFmtId="164" fontId="3" fillId="0" borderId="14" xfId="0" applyNumberFormat="1" applyFont="1" applyBorder="1"/>
    <xf numFmtId="0" fontId="0" fillId="0" borderId="0" xfId="0" applyAlignment="1">
      <alignment horizontal="left" vertical="center" indent="1"/>
    </xf>
    <xf numFmtId="0" fontId="4" fillId="0" borderId="0" xfId="0" applyFont="1" applyAlignment="1">
      <alignment horizontal="right"/>
    </xf>
    <xf numFmtId="0" fontId="4" fillId="0" borderId="0" xfId="0" applyFont="1"/>
    <xf numFmtId="165" fontId="4" fillId="0" borderId="0" xfId="0" applyNumberFormat="1" applyFont="1"/>
    <xf numFmtId="0" fontId="3" fillId="0" borderId="0" xfId="0" applyFont="1" applyAlignment="1"/>
    <xf numFmtId="0" fontId="8" fillId="0" borderId="3" xfId="0" applyFont="1" applyBorder="1"/>
    <xf numFmtId="0" fontId="8" fillId="0" borderId="4" xfId="0" applyFont="1" applyBorder="1"/>
    <xf numFmtId="165" fontId="8" fillId="0" borderId="0" xfId="0" applyNumberFormat="1" applyFont="1"/>
    <xf numFmtId="0" fontId="8" fillId="0" borderId="5" xfId="0" applyFont="1" applyBorder="1"/>
    <xf numFmtId="0" fontId="8" fillId="0" borderId="6" xfId="0" applyFont="1" applyBorder="1"/>
    <xf numFmtId="0" fontId="8" fillId="0" borderId="0" xfId="0" applyFont="1"/>
    <xf numFmtId="0" fontId="8" fillId="0" borderId="0" xfId="0" applyFont="1" applyBorder="1"/>
    <xf numFmtId="166" fontId="8" fillId="0" borderId="0" xfId="0" applyNumberFormat="1" applyFont="1"/>
    <xf numFmtId="0" fontId="2" fillId="4" borderId="0" xfId="0" applyFont="1" applyFill="1"/>
    <xf numFmtId="0" fontId="8" fillId="0" borderId="0" xfId="0" quotePrefix="1" applyFont="1"/>
    <xf numFmtId="0" fontId="1" fillId="0" borderId="0" xfId="0" applyFont="1" applyFill="1" applyAlignment="1">
      <alignment horizontal="center" vertical="center"/>
    </xf>
    <xf numFmtId="2" fontId="8" fillId="0" borderId="0" xfId="0" applyNumberFormat="1" applyFont="1"/>
    <xf numFmtId="0" fontId="7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166" fontId="12" fillId="0" borderId="0" xfId="0" applyNumberFormat="1" applyFont="1"/>
    <xf numFmtId="2" fontId="0" fillId="0" borderId="0" xfId="0" applyNumberFormat="1"/>
    <xf numFmtId="167" fontId="8" fillId="0" borderId="0" xfId="0" applyNumberFormat="1" applyFont="1" applyBorder="1"/>
    <xf numFmtId="0" fontId="4" fillId="3" borderId="7" xfId="0" applyFont="1" applyFill="1" applyBorder="1" applyAlignment="1">
      <alignment horizontal="right"/>
    </xf>
    <xf numFmtId="0" fontId="9" fillId="3" borderId="7" xfId="0" applyFont="1" applyFill="1" applyBorder="1" applyAlignment="1">
      <alignment horizontal="right"/>
    </xf>
    <xf numFmtId="0" fontId="4" fillId="3" borderId="2" xfId="0" quotePrefix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165" fontId="14" fillId="0" borderId="0" xfId="0" applyNumberFormat="1" applyFont="1"/>
    <xf numFmtId="0" fontId="3" fillId="4" borderId="0" xfId="0" applyFont="1" applyFill="1"/>
    <xf numFmtId="0" fontId="15" fillId="6" borderId="0" xfId="0" applyFont="1" applyFill="1" applyAlignment="1">
      <alignment horizontal="center"/>
    </xf>
    <xf numFmtId="0" fontId="0" fillId="9" borderId="0" xfId="0" applyFill="1"/>
    <xf numFmtId="0" fontId="13" fillId="0" borderId="0" xfId="0" applyFont="1"/>
    <xf numFmtId="0" fontId="1" fillId="0" borderId="0" xfId="0" applyFont="1"/>
    <xf numFmtId="0" fontId="2" fillId="4" borderId="0" xfId="0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166" fontId="2" fillId="5" borderId="0" xfId="0" applyNumberFormat="1" applyFont="1" applyFill="1" applyAlignment="1">
      <alignment horizontal="right"/>
    </xf>
    <xf numFmtId="166" fontId="2" fillId="5" borderId="0" xfId="0" applyNumberFormat="1" applyFont="1" applyFill="1" applyAlignment="1">
      <alignment horizontal="right" vertical="center" wrapText="1"/>
    </xf>
    <xf numFmtId="0" fontId="5" fillId="6" borderId="0" xfId="0" applyFont="1" applyFill="1" applyAlignment="1">
      <alignment horizontal="right" vertical="center" wrapText="1"/>
    </xf>
    <xf numFmtId="166" fontId="2" fillId="7" borderId="0" xfId="0" applyNumberFormat="1" applyFont="1" applyFill="1" applyAlignment="1">
      <alignment horizontal="right"/>
    </xf>
    <xf numFmtId="166" fontId="2" fillId="7" borderId="0" xfId="0" applyNumberFormat="1" applyFont="1" applyFill="1" applyAlignment="1">
      <alignment horizontal="right" vertical="center" wrapText="1"/>
    </xf>
    <xf numFmtId="166" fontId="2" fillId="8" borderId="0" xfId="0" applyNumberFormat="1" applyFont="1" applyFill="1" applyAlignment="1">
      <alignment horizontal="right"/>
    </xf>
    <xf numFmtId="166" fontId="2" fillId="8" borderId="0" xfId="0" applyNumberFormat="1" applyFont="1" applyFill="1" applyAlignment="1">
      <alignment horizontal="right" vertical="center" wrapText="1"/>
    </xf>
    <xf numFmtId="0" fontId="5" fillId="9" borderId="0" xfId="0" applyFont="1" applyFill="1" applyAlignment="1">
      <alignment horizontal="right" vertical="center" wrapText="1"/>
    </xf>
    <xf numFmtId="2" fontId="17" fillId="0" borderId="0" xfId="0" applyNumberFormat="1" applyFont="1"/>
    <xf numFmtId="0" fontId="1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3" borderId="16" xfId="0" applyFont="1" applyFill="1" applyBorder="1"/>
    <xf numFmtId="0" fontId="3" fillId="4" borderId="0" xfId="0" applyFont="1" applyFill="1" applyAlignment="1">
      <alignment horizontal="left"/>
    </xf>
    <xf numFmtId="0" fontId="3" fillId="0" borderId="0" xfId="0" applyFont="1" applyAlignment="1">
      <alignment vertical="center" wrapText="1"/>
    </xf>
    <xf numFmtId="2" fontId="8" fillId="3" borderId="0" xfId="0" applyNumberFormat="1" applyFont="1" applyFill="1"/>
    <xf numFmtId="0" fontId="8" fillId="0" borderId="0" xfId="0" applyFont="1" applyAlignment="1">
      <alignment vertical="center" wrapText="1"/>
    </xf>
    <xf numFmtId="2" fontId="7" fillId="3" borderId="0" xfId="0" applyNumberFormat="1" applyFont="1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2" fillId="4" borderId="0" xfId="0" applyFont="1" applyFill="1" applyAlignment="1">
      <alignment horizontal="left"/>
    </xf>
    <xf numFmtId="0" fontId="8" fillId="0" borderId="8" xfId="0" applyFont="1" applyBorder="1"/>
    <xf numFmtId="165" fontId="8" fillId="0" borderId="12" xfId="0" applyNumberFormat="1" applyFont="1" applyBorder="1"/>
    <xf numFmtId="0" fontId="8" fillId="0" borderId="11" xfId="0" applyFont="1" applyBorder="1"/>
    <xf numFmtId="0" fontId="8" fillId="0" borderId="13" xfId="0" applyFont="1" applyBorder="1"/>
    <xf numFmtId="0" fontId="8" fillId="0" borderId="15" xfId="0" applyFont="1" applyBorder="1"/>
    <xf numFmtId="0" fontId="8" fillId="0" borderId="9" xfId="0" applyFont="1" applyBorder="1"/>
    <xf numFmtId="0" fontId="8" fillId="0" borderId="12" xfId="0" applyFont="1" applyBorder="1"/>
    <xf numFmtId="0" fontId="4" fillId="0" borderId="11" xfId="0" applyFont="1" applyBorder="1"/>
    <xf numFmtId="166" fontId="8" fillId="0" borderId="0" xfId="0" applyNumberFormat="1" applyFont="1" applyBorder="1"/>
    <xf numFmtId="166" fontId="8" fillId="0" borderId="12" xfId="0" applyNumberFormat="1" applyFont="1" applyBorder="1"/>
    <xf numFmtId="165" fontId="4" fillId="0" borderId="0" xfId="0" applyNumberFormat="1" applyFont="1" applyBorder="1"/>
    <xf numFmtId="0" fontId="0" fillId="0" borderId="12" xfId="0" applyBorder="1"/>
    <xf numFmtId="0" fontId="5" fillId="0" borderId="13" xfId="0" applyFont="1" applyBorder="1" applyAlignment="1">
      <alignment horizontal="right"/>
    </xf>
    <xf numFmtId="0" fontId="4" fillId="0" borderId="15" xfId="0" applyFont="1" applyBorder="1"/>
    <xf numFmtId="0" fontId="0" fillId="0" borderId="14" xfId="0" applyBorder="1"/>
    <xf numFmtId="0" fontId="0" fillId="0" borderId="11" xfId="0" applyBorder="1"/>
    <xf numFmtId="0" fontId="0" fillId="0" borderId="0" xfId="0" applyBorder="1"/>
    <xf numFmtId="0" fontId="7" fillId="0" borderId="13" xfId="0" applyFont="1" applyBorder="1" applyAlignment="1">
      <alignment horizontal="right"/>
    </xf>
    <xf numFmtId="0" fontId="7" fillId="0" borderId="9" xfId="0" applyFont="1" applyBorder="1"/>
    <xf numFmtId="0" fontId="8" fillId="3" borderId="12" xfId="0" applyFont="1" applyFill="1" applyBorder="1"/>
    <xf numFmtId="165" fontId="8" fillId="0" borderId="0" xfId="0" applyNumberFormat="1" applyFont="1" applyBorder="1"/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8" fillId="0" borderId="14" xfId="0" applyFont="1" applyBorder="1"/>
    <xf numFmtId="0" fontId="8" fillId="0" borderId="10" xfId="0" applyFont="1" applyBorder="1"/>
    <xf numFmtId="2" fontId="12" fillId="0" borderId="0" xfId="0" applyNumberFormat="1" applyFont="1"/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7" xfId="0" applyFont="1" applyBorder="1"/>
    <xf numFmtId="166" fontId="3" fillId="10" borderId="8" xfId="0" applyNumberFormat="1" applyFont="1" applyFill="1" applyBorder="1"/>
    <xf numFmtId="166" fontId="3" fillId="10" borderId="10" xfId="0" applyNumberFormat="1" applyFont="1" applyFill="1" applyBorder="1"/>
    <xf numFmtId="166" fontId="3" fillId="10" borderId="9" xfId="0" applyNumberFormat="1" applyFont="1" applyFill="1" applyBorder="1"/>
    <xf numFmtId="0" fontId="2" fillId="0" borderId="18" xfId="0" applyFont="1" applyBorder="1"/>
    <xf numFmtId="166" fontId="3" fillId="10" borderId="11" xfId="0" applyNumberFormat="1" applyFont="1" applyFill="1" applyBorder="1"/>
    <xf numFmtId="166" fontId="3" fillId="10" borderId="0" xfId="0" applyNumberFormat="1" applyFont="1" applyFill="1"/>
    <xf numFmtId="166" fontId="3" fillId="10" borderId="12" xfId="0" applyNumberFormat="1" applyFont="1" applyFill="1" applyBorder="1"/>
    <xf numFmtId="0" fontId="2" fillId="0" borderId="19" xfId="0" applyFont="1" applyBorder="1"/>
    <xf numFmtId="166" fontId="3" fillId="10" borderId="13" xfId="0" applyNumberFormat="1" applyFont="1" applyFill="1" applyBorder="1"/>
    <xf numFmtId="166" fontId="3" fillId="10" borderId="15" xfId="0" applyNumberFormat="1" applyFont="1" applyFill="1" applyBorder="1"/>
    <xf numFmtId="166" fontId="3" fillId="10" borderId="14" xfId="0" applyNumberFormat="1" applyFont="1" applyFill="1" applyBorder="1"/>
    <xf numFmtId="0" fontId="2" fillId="3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2" fontId="8" fillId="0" borderId="0" xfId="0" applyNumberFormat="1" applyFont="1" applyBorder="1"/>
    <xf numFmtId="2" fontId="8" fillId="0" borderId="10" xfId="0" applyNumberFormat="1" applyFont="1" applyBorder="1"/>
    <xf numFmtId="2" fontId="8" fillId="0" borderId="15" xfId="0" applyNumberFormat="1" applyFont="1" applyBorder="1"/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" fontId="8" fillId="0" borderId="0" xfId="0" applyNumberFormat="1" applyFont="1"/>
    <xf numFmtId="16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6" fontId="21" fillId="0" borderId="0" xfId="0" applyNumberFormat="1" applyFont="1"/>
    <xf numFmtId="1" fontId="22" fillId="0" borderId="0" xfId="0" applyNumberFormat="1" applyFont="1"/>
    <xf numFmtId="0" fontId="22" fillId="0" borderId="0" xfId="0" applyFont="1" applyAlignment="1">
      <alignment horizontal="right"/>
    </xf>
    <xf numFmtId="166" fontId="21" fillId="0" borderId="0" xfId="0" applyNumberFormat="1" applyFont="1" applyAlignment="1">
      <alignment horizontal="right"/>
    </xf>
    <xf numFmtId="1" fontId="22" fillId="0" borderId="0" xfId="0" applyNumberFormat="1" applyFont="1" applyAlignment="1">
      <alignment horizontal="right"/>
    </xf>
    <xf numFmtId="0" fontId="22" fillId="0" borderId="0" xfId="0" applyFont="1"/>
    <xf numFmtId="16" fontId="8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1" fontId="3" fillId="0" borderId="0" xfId="0" applyNumberFormat="1" applyFont="1"/>
    <xf numFmtId="166" fontId="3" fillId="0" borderId="0" xfId="0" applyNumberFormat="1" applyFont="1"/>
    <xf numFmtId="1" fontId="25" fillId="0" borderId="0" xfId="0" applyNumberFormat="1" applyFont="1"/>
    <xf numFmtId="0" fontId="26" fillId="0" borderId="0" xfId="0" applyFont="1" applyAlignment="1">
      <alignment horizontal="right"/>
    </xf>
    <xf numFmtId="1" fontId="25" fillId="0" borderId="0" xfId="0" applyNumberFormat="1" applyFont="1" applyAlignment="1">
      <alignment horizontal="right"/>
    </xf>
    <xf numFmtId="1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166" fontId="28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3" borderId="14" xfId="0" applyFont="1" applyFill="1" applyBorder="1" applyAlignment="1">
      <alignment horizontal="right"/>
    </xf>
    <xf numFmtId="0" fontId="2" fillId="3" borderId="15" xfId="0" applyFont="1" applyFill="1" applyBorder="1" applyAlignment="1">
      <alignment horizontal="right"/>
    </xf>
    <xf numFmtId="166" fontId="30" fillId="0" borderId="0" xfId="0" applyNumberFormat="1" applyFont="1"/>
    <xf numFmtId="166" fontId="31" fillId="0" borderId="0" xfId="0" applyNumberFormat="1" applyFont="1"/>
    <xf numFmtId="0" fontId="31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/>
    <xf numFmtId="166" fontId="32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66" fontId="34" fillId="0" borderId="0" xfId="0" quotePrefix="1" applyNumberFormat="1" applyFont="1" applyAlignment="1">
      <alignment horizontal="right"/>
    </xf>
    <xf numFmtId="1" fontId="34" fillId="0" borderId="0" xfId="0" applyNumberFormat="1" applyFont="1" applyAlignment="1">
      <alignment horizontal="right"/>
    </xf>
    <xf numFmtId="0" fontId="35" fillId="0" borderId="0" xfId="0" applyFont="1" applyAlignment="1">
      <alignment horizontal="right"/>
    </xf>
    <xf numFmtId="0" fontId="35" fillId="0" borderId="0" xfId="0" applyFont="1" applyAlignment="1">
      <alignment horizontal="left"/>
    </xf>
    <xf numFmtId="166" fontId="35" fillId="0" borderId="0" xfId="0" applyNumberFormat="1" applyFont="1" applyAlignment="1">
      <alignment horizontal="right"/>
    </xf>
    <xf numFmtId="166" fontId="35" fillId="0" borderId="0" xfId="0" quotePrefix="1" applyNumberFormat="1" applyFont="1" applyAlignment="1">
      <alignment horizontal="left"/>
    </xf>
    <xf numFmtId="166" fontId="5" fillId="0" borderId="0" xfId="0" quotePrefix="1" applyNumberFormat="1" applyFont="1" applyAlignment="1">
      <alignment horizontal="center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66" fontId="35" fillId="0" borderId="15" xfId="0" applyNumberFormat="1" applyFont="1" applyBorder="1"/>
    <xf numFmtId="0" fontId="34" fillId="0" borderId="13" xfId="0" applyFont="1" applyBorder="1" applyAlignment="1">
      <alignment horizontal="center"/>
    </xf>
    <xf numFmtId="0" fontId="27" fillId="0" borderId="0" xfId="0" applyFont="1" applyAlignment="1">
      <alignment horizontal="right"/>
    </xf>
    <xf numFmtId="166" fontId="27" fillId="0" borderId="14" xfId="0" applyNumberFormat="1" applyFont="1" applyBorder="1" applyAlignment="1">
      <alignment horizontal="right"/>
    </xf>
    <xf numFmtId="1" fontId="21" fillId="0" borderId="15" xfId="0" applyNumberFormat="1" applyFont="1" applyBorder="1" applyAlignment="1">
      <alignment horizontal="right"/>
    </xf>
    <xf numFmtId="0" fontId="29" fillId="0" borderId="13" xfId="0" applyFont="1" applyBorder="1" applyAlignment="1">
      <alignment horizontal="center"/>
    </xf>
    <xf numFmtId="166" fontId="35" fillId="0" borderId="0" xfId="0" applyNumberFormat="1" applyFont="1"/>
    <xf numFmtId="0" fontId="34" fillId="0" borderId="11" xfId="0" applyFont="1" applyBorder="1" applyAlignment="1">
      <alignment horizontal="center"/>
    </xf>
    <xf numFmtId="166" fontId="27" fillId="0" borderId="12" xfId="0" applyNumberFormat="1" applyFont="1" applyBorder="1" applyAlignment="1">
      <alignment horizontal="right"/>
    </xf>
    <xf numFmtId="0" fontId="29" fillId="0" borderId="11" xfId="0" applyFont="1" applyBorder="1" applyAlignment="1">
      <alignment horizontal="center"/>
    </xf>
    <xf numFmtId="166" fontId="27" fillId="0" borderId="15" xfId="0" applyNumberFormat="1" applyFont="1" applyBorder="1" applyAlignment="1">
      <alignment horizontal="right"/>
    </xf>
    <xf numFmtId="0" fontId="27" fillId="0" borderId="15" xfId="0" applyFont="1" applyBorder="1" applyAlignment="1">
      <alignment horizontal="right"/>
    </xf>
    <xf numFmtId="166" fontId="27" fillId="0" borderId="0" xfId="0" applyNumberFormat="1" applyFont="1" applyAlignment="1">
      <alignment horizontal="right"/>
    </xf>
    <xf numFmtId="166" fontId="35" fillId="0" borderId="10" xfId="0" applyNumberFormat="1" applyFont="1" applyBorder="1"/>
    <xf numFmtId="0" fontId="34" fillId="0" borderId="8" xfId="0" applyFont="1" applyBorder="1" applyAlignment="1">
      <alignment horizontal="center"/>
    </xf>
    <xf numFmtId="166" fontId="27" fillId="0" borderId="10" xfId="0" applyNumberFormat="1" applyFont="1" applyBorder="1" applyAlignment="1">
      <alignment horizontal="right"/>
    </xf>
    <xf numFmtId="0" fontId="27" fillId="0" borderId="10" xfId="0" applyFont="1" applyBorder="1" applyAlignment="1">
      <alignment horizontal="right"/>
    </xf>
    <xf numFmtId="0" fontId="29" fillId="0" borderId="8" xfId="0" applyFont="1" applyBorder="1" applyAlignment="1">
      <alignment horizontal="center"/>
    </xf>
    <xf numFmtId="166" fontId="27" fillId="0" borderId="9" xfId="0" applyNumberFormat="1" applyFont="1" applyBorder="1" applyAlignment="1">
      <alignment horizontal="right"/>
    </xf>
    <xf numFmtId="1" fontId="38" fillId="4" borderId="0" xfId="0" applyNumberFormat="1" applyFont="1" applyFill="1" applyAlignment="1">
      <alignment horizontal="right" wrapText="1"/>
    </xf>
    <xf numFmtId="0" fontId="7" fillId="4" borderId="0" xfId="0" applyFont="1" applyFill="1" applyAlignment="1">
      <alignment horizontal="right"/>
    </xf>
    <xf numFmtId="0" fontId="16" fillId="4" borderId="0" xfId="0" applyFont="1" applyFill="1" applyAlignment="1">
      <alignment horizontal="center"/>
    </xf>
    <xf numFmtId="0" fontId="4" fillId="12" borderId="0" xfId="0" applyFont="1" applyFill="1" applyAlignment="1">
      <alignment horizontal="right"/>
    </xf>
    <xf numFmtId="0" fontId="4" fillId="12" borderId="0" xfId="0" applyFont="1" applyFill="1" applyAlignment="1">
      <alignment horizontal="center"/>
    </xf>
    <xf numFmtId="0" fontId="4" fillId="13" borderId="0" xfId="0" applyFont="1" applyFill="1" applyAlignment="1">
      <alignment horizontal="right"/>
    </xf>
    <xf numFmtId="0" fontId="13" fillId="13" borderId="0" xfId="0" applyFont="1" applyFill="1" applyAlignment="1">
      <alignment horizontal="right" wrapText="1"/>
    </xf>
    <xf numFmtId="0" fontId="13" fillId="13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9" fillId="4" borderId="0" xfId="0" applyFont="1" applyFill="1"/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3" borderId="8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11" xfId="0" applyFont="1" applyBorder="1" applyAlignment="1">
      <alignment horizontal="right"/>
    </xf>
    <xf numFmtId="1" fontId="8" fillId="11" borderId="0" xfId="0" applyNumberFormat="1" applyFont="1" applyFill="1"/>
    <xf numFmtId="0" fontId="19" fillId="0" borderId="8" xfId="0" applyFont="1" applyBorder="1"/>
    <xf numFmtId="1" fontId="8" fillId="0" borderId="10" xfId="0" applyNumberFormat="1" applyFont="1" applyBorder="1"/>
    <xf numFmtId="0" fontId="4" fillId="0" borderId="0" xfId="0" quotePrefix="1" applyFont="1" applyAlignment="1">
      <alignment horizontal="center" vertical="center"/>
    </xf>
    <xf numFmtId="0" fontId="19" fillId="0" borderId="13" xfId="0" applyFont="1" applyBorder="1"/>
    <xf numFmtId="1" fontId="8" fillId="0" borderId="15" xfId="0" applyNumberFormat="1" applyFont="1" applyBorder="1"/>
    <xf numFmtId="0" fontId="4" fillId="0" borderId="13" xfId="0" applyFont="1" applyBorder="1" applyAlignment="1">
      <alignment horizontal="right"/>
    </xf>
    <xf numFmtId="0" fontId="13" fillId="0" borderId="0" xfId="0" applyFont="1" applyAlignment="1">
      <alignment horizontal="right"/>
    </xf>
    <xf numFmtId="2" fontId="13" fillId="0" borderId="0" xfId="0" applyNumberFormat="1" applyFont="1"/>
    <xf numFmtId="165" fontId="13" fillId="0" borderId="0" xfId="0" applyNumberFormat="1" applyFont="1"/>
    <xf numFmtId="166" fontId="19" fillId="0" borderId="0" xfId="0" applyNumberFormat="1" applyFont="1"/>
    <xf numFmtId="0" fontId="12" fillId="0" borderId="0" xfId="0" quotePrefix="1" applyFont="1"/>
    <xf numFmtId="0" fontId="11" fillId="0" borderId="0" xfId="0" applyFont="1"/>
    <xf numFmtId="0" fontId="40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0" fontId="4" fillId="0" borderId="8" xfId="0" applyFont="1" applyBorder="1"/>
    <xf numFmtId="0" fontId="4" fillId="3" borderId="13" xfId="0" applyFont="1" applyFill="1" applyBorder="1" applyAlignment="1">
      <alignment horizontal="right"/>
    </xf>
    <xf numFmtId="0" fontId="4" fillId="3" borderId="1" xfId="0" applyFont="1" applyFill="1" applyBorder="1"/>
    <xf numFmtId="0" fontId="4" fillId="3" borderId="7" xfId="0" applyFont="1" applyFill="1" applyBorder="1"/>
    <xf numFmtId="0" fontId="4" fillId="3" borderId="2" xfId="0" applyFont="1" applyFill="1" applyBorder="1"/>
    <xf numFmtId="166" fontId="0" fillId="0" borderId="0" xfId="0" applyNumberFormat="1" applyAlignment="1">
      <alignment horizontal="center"/>
    </xf>
    <xf numFmtId="0" fontId="5" fillId="7" borderId="0" xfId="0" applyFont="1" applyFill="1" applyAlignment="1">
      <alignment horizontal="right" vertical="center" wrapText="1"/>
    </xf>
    <xf numFmtId="166" fontId="5" fillId="7" borderId="0" xfId="0" applyNumberFormat="1" applyFont="1" applyFill="1" applyAlignment="1">
      <alignment horizontal="right"/>
    </xf>
    <xf numFmtId="166" fontId="5" fillId="7" borderId="0" xfId="0" applyNumberFormat="1" applyFont="1" applyFill="1" applyAlignment="1">
      <alignment horizontal="right" vertical="center" wrapText="1"/>
    </xf>
    <xf numFmtId="166" fontId="2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9" fillId="0" borderId="17" xfId="0" applyFont="1" applyBorder="1"/>
    <xf numFmtId="166" fontId="11" fillId="0" borderId="0" xfId="0" applyNumberFormat="1" applyFont="1"/>
    <xf numFmtId="0" fontId="19" fillId="0" borderId="19" xfId="0" applyFont="1" applyBorder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6" fontId="8" fillId="0" borderId="0" xfId="0" applyNumberFormat="1" applyFont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19" fillId="0" borderId="0" xfId="0" applyFont="1" applyFill="1" applyBorder="1"/>
    <xf numFmtId="1" fontId="8" fillId="0" borderId="0" xfId="0" applyNumberFormat="1" applyFont="1" applyFill="1" applyBorder="1"/>
    <xf numFmtId="0" fontId="4" fillId="0" borderId="0" xfId="0" quotePrefix="1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right"/>
    </xf>
    <xf numFmtId="0" fontId="13" fillId="0" borderId="0" xfId="0" applyFont="1" applyFill="1" applyBorder="1"/>
    <xf numFmtId="0" fontId="11" fillId="0" borderId="0" xfId="0" applyFont="1" applyFill="1" applyBorder="1"/>
    <xf numFmtId="2" fontId="0" fillId="0" borderId="0" xfId="0" applyNumberFormat="1" applyFill="1" applyBorder="1" applyAlignment="1">
      <alignment horizontal="center" wrapText="1"/>
    </xf>
    <xf numFmtId="1" fontId="11" fillId="0" borderId="0" xfId="0" applyNumberFormat="1" applyFont="1" applyFill="1" applyBorder="1"/>
    <xf numFmtId="0" fontId="2" fillId="0" borderId="16" xfId="0" applyFont="1" applyBorder="1"/>
    <xf numFmtId="166" fontId="3" fillId="10" borderId="1" xfId="0" applyNumberFormat="1" applyFont="1" applyFill="1" applyBorder="1"/>
    <xf numFmtId="166" fontId="3" fillId="10" borderId="7" xfId="0" applyNumberFormat="1" applyFont="1" applyFill="1" applyBorder="1"/>
    <xf numFmtId="166" fontId="3" fillId="10" borderId="2" xfId="0" applyNumberFormat="1" applyFont="1" applyFill="1" applyBorder="1"/>
    <xf numFmtId="0" fontId="4" fillId="0" borderId="8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164" fontId="20" fillId="0" borderId="9" xfId="0" applyNumberFormat="1" applyFont="1" applyBorder="1"/>
    <xf numFmtId="1" fontId="35" fillId="0" borderId="0" xfId="0" applyNumberFormat="1" applyFont="1" applyBorder="1"/>
    <xf numFmtId="166" fontId="27" fillId="0" borderId="0" xfId="0" applyNumberFormat="1" applyFont="1" applyBorder="1"/>
    <xf numFmtId="0" fontId="4" fillId="4" borderId="0" xfId="0" applyFont="1" applyFill="1" applyAlignment="1">
      <alignment horizontal="right"/>
    </xf>
    <xf numFmtId="1" fontId="6" fillId="0" borderId="0" xfId="0" applyNumberFormat="1" applyFont="1" applyAlignment="1">
      <alignment horizontal="right"/>
    </xf>
    <xf numFmtId="166" fontId="12" fillId="0" borderId="15" xfId="0" applyNumberFormat="1" applyFont="1" applyBorder="1" applyAlignment="1">
      <alignment horizontal="right"/>
    </xf>
    <xf numFmtId="166" fontId="12" fillId="0" borderId="14" xfId="0" applyNumberFormat="1" applyFont="1" applyBorder="1" applyAlignment="1">
      <alignment horizontal="right"/>
    </xf>
    <xf numFmtId="166" fontId="12" fillId="0" borderId="13" xfId="0" applyNumberFormat="1" applyFont="1" applyBorder="1" applyAlignment="1">
      <alignment horizontal="right" vertical="center"/>
    </xf>
    <xf numFmtId="166" fontId="12" fillId="0" borderId="0" xfId="0" applyNumberFormat="1" applyFont="1" applyBorder="1" applyAlignment="1">
      <alignment horizontal="right" vertical="center"/>
    </xf>
    <xf numFmtId="166" fontId="12" fillId="0" borderId="0" xfId="0" applyNumberFormat="1" applyFont="1" applyBorder="1" applyAlignment="1">
      <alignment horizontal="right"/>
    </xf>
    <xf numFmtId="0" fontId="13" fillId="3" borderId="10" xfId="0" applyFont="1" applyFill="1" applyBorder="1" applyAlignment="1">
      <alignment horizontal="right"/>
    </xf>
    <xf numFmtId="0" fontId="13" fillId="3" borderId="9" xfId="0" applyFont="1" applyFill="1" applyBorder="1" applyAlignment="1">
      <alignment horizontal="right"/>
    </xf>
    <xf numFmtId="2" fontId="2" fillId="2" borderId="0" xfId="0" applyNumberFormat="1" applyFont="1" applyFill="1" applyAlignment="1">
      <alignment horizontal="right" vertical="center" wrapText="1"/>
    </xf>
    <xf numFmtId="0" fontId="7" fillId="0" borderId="12" xfId="0" applyFont="1" applyBorder="1"/>
    <xf numFmtId="0" fontId="41" fillId="0" borderId="0" xfId="0" applyFont="1" applyAlignment="1">
      <alignment vertical="center"/>
    </xf>
    <xf numFmtId="0" fontId="0" fillId="0" borderId="0" xfId="0" applyFill="1"/>
    <xf numFmtId="0" fontId="13" fillId="0" borderId="8" xfId="0" applyFont="1" applyBorder="1" applyAlignment="1">
      <alignment horizontal="center" vertical="center" wrapText="1"/>
    </xf>
    <xf numFmtId="9" fontId="4" fillId="0" borderId="10" xfId="0" applyNumberFormat="1" applyFont="1" applyBorder="1" applyAlignment="1">
      <alignment horizontal="right" vertical="center" wrapText="1"/>
    </xf>
    <xf numFmtId="9" fontId="4" fillId="3" borderId="10" xfId="0" applyNumberFormat="1" applyFont="1" applyFill="1" applyBorder="1" applyAlignment="1">
      <alignment horizontal="right" vertical="center" wrapText="1"/>
    </xf>
    <xf numFmtId="9" fontId="4" fillId="3" borderId="9" xfId="0" applyNumberFormat="1" applyFont="1" applyFill="1" applyBorder="1" applyAlignment="1">
      <alignment horizontal="right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4" fillId="10" borderId="15" xfId="0" applyFont="1" applyFill="1" applyBorder="1" applyAlignment="1">
      <alignment horizontal="right" vertical="center" wrapText="1"/>
    </xf>
    <xf numFmtId="0" fontId="4" fillId="3" borderId="15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3" borderId="10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10" borderId="13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left"/>
    </xf>
    <xf numFmtId="0" fontId="3" fillId="3" borderId="0" xfId="0" applyFont="1" applyFill="1"/>
    <xf numFmtId="0" fontId="1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4" fillId="4" borderId="0" xfId="0" applyFont="1" applyFill="1" applyAlignment="1">
      <alignment horizontal="left" vertical="center"/>
    </xf>
    <xf numFmtId="1" fontId="29" fillId="0" borderId="0" xfId="0" quotePrefix="1" applyNumberFormat="1" applyFont="1"/>
    <xf numFmtId="0" fontId="2" fillId="3" borderId="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6" fontId="2" fillId="8" borderId="0" xfId="0" applyNumberFormat="1" applyFont="1" applyFill="1" applyAlignment="1">
      <alignment horizontal="center"/>
    </xf>
    <xf numFmtId="166" fontId="0" fillId="8" borderId="0" xfId="0" applyNumberForma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166" fontId="4" fillId="5" borderId="0" xfId="0" applyNumberFormat="1" applyFont="1" applyFill="1" applyAlignment="1">
      <alignment horizontal="center"/>
    </xf>
    <xf numFmtId="166" fontId="4" fillId="7" borderId="0" xfId="0" applyNumberFormat="1" applyFont="1" applyFill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4" fillId="7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8" fillId="7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8" fillId="11" borderId="0" xfId="0" applyFont="1" applyFill="1" applyAlignment="1">
      <alignment horizontal="left"/>
    </xf>
    <xf numFmtId="166" fontId="42" fillId="0" borderId="0" xfId="0" applyNumberFormat="1" applyFont="1"/>
    <xf numFmtId="0" fontId="42" fillId="0" borderId="0" xfId="0" quotePrefix="1" applyFont="1"/>
    <xf numFmtId="0" fontId="12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8" fillId="0" borderId="8" xfId="0" applyNumberFormat="1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right"/>
    </xf>
    <xf numFmtId="2" fontId="8" fillId="0" borderId="9" xfId="0" applyNumberFormat="1" applyFont="1" applyBorder="1" applyAlignment="1">
      <alignment horizontal="right"/>
    </xf>
    <xf numFmtId="165" fontId="19" fillId="0" borderId="12" xfId="0" applyNumberFormat="1" applyFont="1" applyBorder="1"/>
    <xf numFmtId="165" fontId="19" fillId="0" borderId="14" xfId="0" applyNumberFormat="1" applyFont="1" applyBorder="1"/>
    <xf numFmtId="0" fontId="19" fillId="0" borderId="0" xfId="0" applyFont="1"/>
    <xf numFmtId="2" fontId="8" fillId="0" borderId="0" xfId="0" applyNumberFormat="1" applyFont="1" applyBorder="1" applyAlignment="1">
      <alignment vertical="center" wrapText="1"/>
    </xf>
    <xf numFmtId="2" fontId="8" fillId="3" borderId="0" xfId="0" applyNumberFormat="1" applyFont="1" applyFill="1" applyBorder="1" applyAlignment="1">
      <alignment vertical="center" wrapText="1"/>
    </xf>
    <xf numFmtId="2" fontId="8" fillId="3" borderId="12" xfId="0" applyNumberFormat="1" applyFont="1" applyFill="1" applyBorder="1" applyAlignment="1">
      <alignment vertical="center" wrapText="1"/>
    </xf>
    <xf numFmtId="2" fontId="8" fillId="0" borderId="15" xfId="0" applyNumberFormat="1" applyFont="1" applyBorder="1" applyAlignment="1">
      <alignment vertical="center" wrapText="1"/>
    </xf>
    <xf numFmtId="2" fontId="8" fillId="3" borderId="15" xfId="0" applyNumberFormat="1" applyFont="1" applyFill="1" applyBorder="1" applyAlignment="1">
      <alignment vertical="center" wrapText="1"/>
    </xf>
    <xf numFmtId="2" fontId="8" fillId="3" borderId="14" xfId="0" applyNumberFormat="1" applyFont="1" applyFill="1" applyBorder="1" applyAlignment="1">
      <alignment vertical="center" wrapText="1"/>
    </xf>
    <xf numFmtId="2" fontId="8" fillId="0" borderId="10" xfId="0" applyNumberFormat="1" applyFont="1" applyBorder="1" applyAlignment="1">
      <alignment vertical="center" wrapText="1"/>
    </xf>
    <xf numFmtId="2" fontId="8" fillId="3" borderId="10" xfId="0" applyNumberFormat="1" applyFont="1" applyFill="1" applyBorder="1" applyAlignment="1">
      <alignment vertical="center" wrapText="1"/>
    </xf>
    <xf numFmtId="2" fontId="8" fillId="3" borderId="9" xfId="0" applyNumberFormat="1" applyFont="1" applyFill="1" applyBorder="1" applyAlignment="1">
      <alignment vertical="center" wrapText="1"/>
    </xf>
    <xf numFmtId="0" fontId="7" fillId="0" borderId="11" xfId="0" applyFont="1" applyBorder="1" applyAlignment="1">
      <alignment horizontal="right"/>
    </xf>
    <xf numFmtId="166" fontId="6" fillId="0" borderId="0" xfId="0" applyNumberFormat="1" applyFont="1"/>
    <xf numFmtId="0" fontId="6" fillId="0" borderId="0" xfId="0" applyFont="1"/>
    <xf numFmtId="0" fontId="20" fillId="0" borderId="2" xfId="0" applyFont="1" applyBorder="1" applyAlignment="1">
      <alignment horizontal="right"/>
    </xf>
    <xf numFmtId="0" fontId="0" fillId="2" borderId="0" xfId="0" applyFill="1" applyAlignment="1">
      <alignment vertical="center"/>
    </xf>
    <xf numFmtId="0" fontId="44" fillId="0" borderId="0" xfId="0" applyFont="1"/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6" fontId="4" fillId="0" borderId="13" xfId="0" applyNumberFormat="1" applyFont="1" applyBorder="1" applyAlignment="1">
      <alignment horizontal="center"/>
    </xf>
    <xf numFmtId="166" fontId="4" fillId="0" borderId="15" xfId="0" applyNumberFormat="1" applyFont="1" applyBorder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6" fontId="8" fillId="0" borderId="8" xfId="0" applyNumberFormat="1" applyFont="1" applyBorder="1"/>
    <xf numFmtId="166" fontId="8" fillId="0" borderId="10" xfId="0" applyNumberFormat="1" applyFont="1" applyBorder="1"/>
    <xf numFmtId="166" fontId="8" fillId="0" borderId="9" xfId="0" applyNumberFormat="1" applyFont="1" applyBorder="1"/>
    <xf numFmtId="166" fontId="8" fillId="0" borderId="11" xfId="0" applyNumberFormat="1" applyFont="1" applyBorder="1"/>
    <xf numFmtId="0" fontId="4" fillId="0" borderId="13" xfId="0" applyFont="1" applyBorder="1" applyAlignment="1">
      <alignment horizontal="center"/>
    </xf>
    <xf numFmtId="166" fontId="8" fillId="0" borderId="13" xfId="0" applyNumberFormat="1" applyFont="1" applyBorder="1"/>
    <xf numFmtId="166" fontId="8" fillId="0" borderId="15" xfId="0" applyNumberFormat="1" applyFont="1" applyBorder="1"/>
    <xf numFmtId="166" fontId="8" fillId="0" borderId="14" xfId="0" applyNumberFormat="1" applyFont="1" applyBorder="1"/>
    <xf numFmtId="0" fontId="20" fillId="0" borderId="0" xfId="0" applyFont="1"/>
    <xf numFmtId="0" fontId="0" fillId="0" borderId="8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2" fontId="8" fillId="0" borderId="10" xfId="0" applyNumberFormat="1" applyFont="1" applyFill="1" applyBorder="1"/>
    <xf numFmtId="2" fontId="8" fillId="0" borderId="9" xfId="0" applyNumberFormat="1" applyFont="1" applyFill="1" applyBorder="1"/>
    <xf numFmtId="2" fontId="8" fillId="0" borderId="15" xfId="0" applyNumberFormat="1" applyFont="1" applyFill="1" applyBorder="1"/>
    <xf numFmtId="2" fontId="8" fillId="0" borderId="14" xfId="0" applyNumberFormat="1" applyFont="1" applyFill="1" applyBorder="1"/>
    <xf numFmtId="2" fontId="11" fillId="0" borderId="9" xfId="0" applyNumberFormat="1" applyFont="1" applyBorder="1"/>
    <xf numFmtId="2" fontId="11" fillId="0" borderId="12" xfId="0" applyNumberFormat="1" applyFont="1" applyBorder="1"/>
    <xf numFmtId="2" fontId="11" fillId="0" borderId="14" xfId="0" applyNumberFormat="1" applyFont="1" applyBorder="1"/>
    <xf numFmtId="2" fontId="18" fillId="0" borderId="0" xfId="0" applyNumberFormat="1" applyFont="1"/>
    <xf numFmtId="166" fontId="39" fillId="0" borderId="0" xfId="0" applyNumberFormat="1" applyFont="1"/>
    <xf numFmtId="166" fontId="51" fillId="0" borderId="0" xfId="0" applyNumberFormat="1" applyFont="1"/>
    <xf numFmtId="0" fontId="7" fillId="0" borderId="1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8" fillId="0" borderId="3" xfId="0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0" fontId="8" fillId="0" borderId="6" xfId="0" applyFont="1" applyFill="1" applyBorder="1"/>
    <xf numFmtId="0" fontId="9" fillId="15" borderId="1" xfId="0" applyFont="1" applyFill="1" applyBorder="1" applyAlignment="1">
      <alignment horizontal="right"/>
    </xf>
    <xf numFmtId="0" fontId="4" fillId="15" borderId="7" xfId="0" applyFont="1" applyFill="1" applyBorder="1" applyAlignment="1">
      <alignment horizontal="right"/>
    </xf>
    <xf numFmtId="0" fontId="9" fillId="15" borderId="7" xfId="0" applyFont="1" applyFill="1" applyBorder="1" applyAlignment="1">
      <alignment horizontal="right"/>
    </xf>
    <xf numFmtId="0" fontId="4" fillId="15" borderId="2" xfId="0" quotePrefix="1" applyFont="1" applyFill="1" applyBorder="1" applyAlignment="1">
      <alignment horizontal="right"/>
    </xf>
    <xf numFmtId="166" fontId="34" fillId="14" borderId="0" xfId="0" applyNumberFormat="1" applyFont="1" applyFill="1" applyAlignment="1">
      <alignment horizontal="right"/>
    </xf>
    <xf numFmtId="166" fontId="21" fillId="0" borderId="0" xfId="0" applyNumberFormat="1" applyFont="1" applyFill="1"/>
    <xf numFmtId="0" fontId="3" fillId="0" borderId="0" xfId="0" applyFont="1" applyFill="1"/>
    <xf numFmtId="166" fontId="21" fillId="0" borderId="0" xfId="0" applyNumberFormat="1" applyFont="1" applyFill="1" applyAlignment="1">
      <alignment horizontal="right"/>
    </xf>
    <xf numFmtId="166" fontId="3" fillId="0" borderId="0" xfId="0" applyNumberFormat="1" applyFont="1" applyFill="1"/>
    <xf numFmtId="0" fontId="5" fillId="3" borderId="8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231775</xdr:colOff>
      <xdr:row>14</xdr:row>
      <xdr:rowOff>12700</xdr:rowOff>
    </xdr:from>
    <xdr:ext cx="415925" cy="3492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2F3E5F5-7856-4F6D-82D6-9F84ADEF6424}"/>
                </a:ext>
              </a:extLst>
            </xdr:cNvPr>
            <xdr:cNvSpPr txBox="1"/>
          </xdr:nvSpPr>
          <xdr:spPr>
            <a:xfrm>
              <a:off x="5775325" y="2590800"/>
              <a:ext cx="415925" cy="349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en-CA" sz="1800" b="1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CA" sz="1800" b="1" i="1">
                          <a:latin typeface="Cambria Math" panose="02040503050406030204" pitchFamily="18" charset="0"/>
                        </a:rPr>
                        <m:t>𝒙</m:t>
                      </m:r>
                    </m:e>
                    <m:sup>
                      <m:r>
                        <a:rPr lang="en-CA" sz="1800" b="1" i="1">
                          <a:latin typeface="Cambria Math" panose="02040503050406030204" pitchFamily="18" charset="0"/>
                        </a:rPr>
                        <m:t>𝟐</m:t>
                      </m:r>
                    </m:sup>
                  </m:sSup>
                </m:oMath>
              </a14:m>
              <a:r>
                <a:rPr lang="en-CA" sz="1100" b="1"/>
                <a:t> =</a:t>
              </a: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2F3E5F5-7856-4F6D-82D6-9F84ADEF6424}"/>
                </a:ext>
              </a:extLst>
            </xdr:cNvPr>
            <xdr:cNvSpPr txBox="1"/>
          </xdr:nvSpPr>
          <xdr:spPr>
            <a:xfrm>
              <a:off x="5775325" y="2590800"/>
              <a:ext cx="415925" cy="349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CA" sz="1800" b="1" i="0">
                  <a:latin typeface="Cambria Math" panose="02040503050406030204" pitchFamily="18" charset="0"/>
                </a:rPr>
                <a:t>𝒙^𝟐</a:t>
              </a:r>
              <a:r>
                <a:rPr lang="en-CA" sz="1100" b="1"/>
                <a:t> =</a:t>
              </a:r>
            </a:p>
          </xdr:txBody>
        </xdr:sp>
      </mc:Fallback>
    </mc:AlternateContent>
    <xdr:clientData/>
  </xdr:oneCellAnchor>
  <xdr:oneCellAnchor>
    <xdr:from>
      <xdr:col>5</xdr:col>
      <xdr:colOff>142875</xdr:colOff>
      <xdr:row>22</xdr:row>
      <xdr:rowOff>123825</xdr:rowOff>
    </xdr:from>
    <xdr:ext cx="485775" cy="3524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7B51FE7-580F-4E3B-800E-BB40B44CD541}"/>
                </a:ext>
              </a:extLst>
            </xdr:cNvPr>
            <xdr:cNvSpPr txBox="1"/>
          </xdr:nvSpPr>
          <xdr:spPr>
            <a:xfrm>
              <a:off x="3222625" y="4175125"/>
              <a:ext cx="485775" cy="352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en-CA" sz="2400" b="1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CA" sz="2400" b="1" i="1">
                          <a:latin typeface="Cambria Math" panose="02040503050406030204" pitchFamily="18" charset="0"/>
                        </a:rPr>
                        <m:t>𝒙</m:t>
                      </m:r>
                    </m:e>
                    <m:sup>
                      <m:r>
                        <a:rPr lang="en-CA" sz="2400" b="1" i="1">
                          <a:latin typeface="Cambria Math" panose="02040503050406030204" pitchFamily="18" charset="0"/>
                        </a:rPr>
                        <m:t>𝟐</m:t>
                      </m:r>
                    </m:sup>
                  </m:sSup>
                </m:oMath>
              </a14:m>
              <a:r>
                <a:rPr lang="en-CA" sz="1400" b="1"/>
                <a:t> =</a:t>
              </a:r>
              <a:endParaRPr lang="en-CA" sz="1100" b="1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7B51FE7-580F-4E3B-800E-BB40B44CD541}"/>
                </a:ext>
              </a:extLst>
            </xdr:cNvPr>
            <xdr:cNvSpPr txBox="1"/>
          </xdr:nvSpPr>
          <xdr:spPr>
            <a:xfrm>
              <a:off x="3222625" y="4175125"/>
              <a:ext cx="485775" cy="352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CA" sz="2400" b="1" i="0">
                  <a:latin typeface="Cambria Math" panose="02040503050406030204" pitchFamily="18" charset="0"/>
                </a:rPr>
                <a:t>𝒙^𝟐</a:t>
              </a:r>
              <a:r>
                <a:rPr lang="en-CA" sz="1400" b="1"/>
                <a:t> =</a:t>
              </a:r>
              <a:endParaRPr lang="en-CA" sz="1100" b="1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49</xdr:row>
      <xdr:rowOff>0</xdr:rowOff>
    </xdr:from>
    <xdr:to>
      <xdr:col>11</xdr:col>
      <xdr:colOff>57150</xdr:colOff>
      <xdr:row>50</xdr:row>
      <xdr:rowOff>120650</xdr:rowOff>
    </xdr:to>
    <xdr:sp macro="" textlink="">
      <xdr:nvSpPr>
        <xdr:cNvPr id="2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DD3AFB4C-324C-4891-A732-A8BAE7D7E49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6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120650</xdr:rowOff>
    </xdr:to>
    <xdr:sp macro="" textlink="">
      <xdr:nvSpPr>
        <xdr:cNvPr id="3" name="AutoShape 8" descr="{\textstyle O_{i}\geq 0}">
          <a:extLst>
            <a:ext uri="{FF2B5EF4-FFF2-40B4-BE49-F238E27FC236}">
              <a16:creationId xmlns:a16="http://schemas.microsoft.com/office/drawing/2014/main" id="{D7BA5DAC-FC09-4932-8A76-671A04B160D6}"/>
            </a:ext>
          </a:extLst>
        </xdr:cNvPr>
        <xdr:cNvSpPr>
          <a:spLocks noChangeAspect="1" noChangeArrowheads="1"/>
        </xdr:cNvSpPr>
      </xdr:nvSpPr>
      <xdr:spPr bwMode="auto">
        <a:xfrm>
          <a:off x="0" y="5962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120650</xdr:rowOff>
    </xdr:to>
    <xdr:sp macro="" textlink="">
      <xdr:nvSpPr>
        <xdr:cNvPr id="4" name="AutoShape 9" descr="{\textstyle E_{i}&gt;0}">
          <a:extLst>
            <a:ext uri="{FF2B5EF4-FFF2-40B4-BE49-F238E27FC236}">
              <a16:creationId xmlns:a16="http://schemas.microsoft.com/office/drawing/2014/main" id="{DB8F0140-B179-4752-A0E8-2466A9EA7665}"/>
            </a:ext>
          </a:extLst>
        </xdr:cNvPr>
        <xdr:cNvSpPr>
          <a:spLocks noChangeAspect="1" noChangeArrowheads="1"/>
        </xdr:cNvSpPr>
      </xdr:nvSpPr>
      <xdr:spPr bwMode="auto">
        <a:xfrm>
          <a:off x="0" y="614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120650</xdr:rowOff>
    </xdr:to>
    <xdr:sp macro="" textlink="">
      <xdr:nvSpPr>
        <xdr:cNvPr id="5" name="AutoShape 10" descr="{\textstyle \ln }">
          <a:extLst>
            <a:ext uri="{FF2B5EF4-FFF2-40B4-BE49-F238E27FC236}">
              <a16:creationId xmlns:a16="http://schemas.microsoft.com/office/drawing/2014/main" id="{EEBA15F9-1E85-4665-A4BD-286571C03A60}"/>
            </a:ext>
          </a:extLst>
        </xdr:cNvPr>
        <xdr:cNvSpPr>
          <a:spLocks noChangeAspect="1" noChangeArrowheads="1"/>
        </xdr:cNvSpPr>
      </xdr:nvSpPr>
      <xdr:spPr bwMode="auto">
        <a:xfrm>
          <a:off x="0" y="6330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120650</xdr:rowOff>
    </xdr:to>
    <xdr:sp macro="" textlink="">
      <xdr:nvSpPr>
        <xdr:cNvPr id="6" name="AutoShape 11" descr="{\displaystyle \sum _{i}O_{i}=\sum _{i}E_{i}=N}">
          <a:extLst>
            <a:ext uri="{FF2B5EF4-FFF2-40B4-BE49-F238E27FC236}">
              <a16:creationId xmlns:a16="http://schemas.microsoft.com/office/drawing/2014/main" id="{60F019DF-F5AF-4D23-A0C0-5F2701103F36}"/>
            </a:ext>
          </a:extLst>
        </xdr:cNvPr>
        <xdr:cNvSpPr>
          <a:spLocks noChangeAspect="1" noChangeArrowheads="1"/>
        </xdr:cNvSpPr>
      </xdr:nvSpPr>
      <xdr:spPr bwMode="auto">
        <a:xfrm>
          <a:off x="0" y="688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120650</xdr:rowOff>
    </xdr:to>
    <xdr:sp macro="" textlink="">
      <xdr:nvSpPr>
        <xdr:cNvPr id="7" name="AutoShape 12" descr="{\textstyle N}">
          <a:extLst>
            <a:ext uri="{FF2B5EF4-FFF2-40B4-BE49-F238E27FC236}">
              <a16:creationId xmlns:a16="http://schemas.microsoft.com/office/drawing/2014/main" id="{C02D0CCA-5D16-4C5D-AB1E-5537E04F66C8}"/>
            </a:ext>
          </a:extLst>
        </xdr:cNvPr>
        <xdr:cNvSpPr>
          <a:spLocks noChangeAspect="1" noChangeArrowheads="1"/>
        </xdr:cNvSpPr>
      </xdr:nvSpPr>
      <xdr:spPr bwMode="auto">
        <a:xfrm>
          <a:off x="0" y="762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501650</xdr:colOff>
      <xdr:row>26</xdr:row>
      <xdr:rowOff>0</xdr:rowOff>
    </xdr:from>
    <xdr:ext cx="304800" cy="304800"/>
    <xdr:sp macro="" textlink="">
      <xdr:nvSpPr>
        <xdr:cNvPr id="3" name="AutoShape 8" descr="{\textstyle O_{i}\geq 0}">
          <a:extLst>
            <a:ext uri="{FF2B5EF4-FFF2-40B4-BE49-F238E27FC236}">
              <a16:creationId xmlns:a16="http://schemas.microsoft.com/office/drawing/2014/main" id="{04E8E32B-E91E-42C4-9CAC-8AF2EA4D817C}"/>
            </a:ext>
          </a:extLst>
        </xdr:cNvPr>
        <xdr:cNvSpPr>
          <a:spLocks noChangeAspect="1" noChangeArrowheads="1"/>
        </xdr:cNvSpPr>
      </xdr:nvSpPr>
      <xdr:spPr bwMode="auto">
        <a:xfrm>
          <a:off x="2095500" y="636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4" name="AutoShape 9" descr="{\textstyle E_{i}&gt;0}">
          <a:extLst>
            <a:ext uri="{FF2B5EF4-FFF2-40B4-BE49-F238E27FC236}">
              <a16:creationId xmlns:a16="http://schemas.microsoft.com/office/drawing/2014/main" id="{6844B2B8-92F1-4A72-890B-80E7EBD6C276}"/>
            </a:ext>
          </a:extLst>
        </xdr:cNvPr>
        <xdr:cNvSpPr>
          <a:spLocks noChangeAspect="1" noChangeArrowheads="1"/>
        </xdr:cNvSpPr>
      </xdr:nvSpPr>
      <xdr:spPr bwMode="auto">
        <a:xfrm>
          <a:off x="190500" y="636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5" name="AutoShape 10" descr="{\textstyle \ln }">
          <a:extLst>
            <a:ext uri="{FF2B5EF4-FFF2-40B4-BE49-F238E27FC236}">
              <a16:creationId xmlns:a16="http://schemas.microsoft.com/office/drawing/2014/main" id="{92923B93-6302-434C-AA8E-B1CDBB0E33EA}"/>
            </a:ext>
          </a:extLst>
        </xdr:cNvPr>
        <xdr:cNvSpPr>
          <a:spLocks noChangeAspect="1" noChangeArrowheads="1"/>
        </xdr:cNvSpPr>
      </xdr:nvSpPr>
      <xdr:spPr bwMode="auto">
        <a:xfrm>
          <a:off x="190500" y="636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6" name="AutoShape 11" descr="{\displaystyle \sum _{i}O_{i}=\sum _{i}E_{i}=N}">
          <a:extLst>
            <a:ext uri="{FF2B5EF4-FFF2-40B4-BE49-F238E27FC236}">
              <a16:creationId xmlns:a16="http://schemas.microsoft.com/office/drawing/2014/main" id="{6B258079-87EC-4806-93DC-F78EA86D7446}"/>
            </a:ext>
          </a:extLst>
        </xdr:cNvPr>
        <xdr:cNvSpPr>
          <a:spLocks noChangeAspect="1" noChangeArrowheads="1"/>
        </xdr:cNvSpPr>
      </xdr:nvSpPr>
      <xdr:spPr bwMode="auto">
        <a:xfrm>
          <a:off x="190500" y="636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7" name="AutoShape 12" descr="{\textstyle N}">
          <a:extLst>
            <a:ext uri="{FF2B5EF4-FFF2-40B4-BE49-F238E27FC236}">
              <a16:creationId xmlns:a16="http://schemas.microsoft.com/office/drawing/2014/main" id="{B45CD514-C3B3-42B0-9172-89479038AFFD}"/>
            </a:ext>
          </a:extLst>
        </xdr:cNvPr>
        <xdr:cNvSpPr>
          <a:spLocks noChangeAspect="1" noChangeArrowheads="1"/>
        </xdr:cNvSpPr>
      </xdr:nvSpPr>
      <xdr:spPr bwMode="auto">
        <a:xfrm>
          <a:off x="190500" y="636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361950</xdr:colOff>
      <xdr:row>26</xdr:row>
      <xdr:rowOff>0</xdr:rowOff>
    </xdr:from>
    <xdr:ext cx="304800" cy="444500"/>
    <xdr:sp macro="" textlink="">
      <xdr:nvSpPr>
        <xdr:cNvPr id="8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DBDBC596-4C4F-4DBC-9C7D-D204BBF8E7C5}"/>
            </a:ext>
          </a:extLst>
        </xdr:cNvPr>
        <xdr:cNvSpPr>
          <a:spLocks noChangeAspect="1" noChangeArrowheads="1"/>
        </xdr:cNvSpPr>
      </xdr:nvSpPr>
      <xdr:spPr bwMode="auto">
        <a:xfrm>
          <a:off x="7727950" y="6369050"/>
          <a:ext cx="304800" cy="44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74650"/>
    <xdr:sp macro="" textlink="">
      <xdr:nvSpPr>
        <xdr:cNvPr id="9" name="AutoShape 8" descr="{\textstyle O_{i}\geq 0}">
          <a:extLst>
            <a:ext uri="{FF2B5EF4-FFF2-40B4-BE49-F238E27FC236}">
              <a16:creationId xmlns:a16="http://schemas.microsoft.com/office/drawing/2014/main" id="{2118C033-2772-4BA6-BBCC-1A1B451521E9}"/>
            </a:ext>
          </a:extLst>
        </xdr:cNvPr>
        <xdr:cNvSpPr>
          <a:spLocks noChangeAspect="1" noChangeArrowheads="1"/>
        </xdr:cNvSpPr>
      </xdr:nvSpPr>
      <xdr:spPr bwMode="auto">
        <a:xfrm>
          <a:off x="190500" y="6369050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74650"/>
    <xdr:sp macro="" textlink="">
      <xdr:nvSpPr>
        <xdr:cNvPr id="10" name="AutoShape 9" descr="{\textstyle E_{i}&gt;0}">
          <a:extLst>
            <a:ext uri="{FF2B5EF4-FFF2-40B4-BE49-F238E27FC236}">
              <a16:creationId xmlns:a16="http://schemas.microsoft.com/office/drawing/2014/main" id="{9C3A1E53-6AFF-4F70-8868-279BAEFEE35C}"/>
            </a:ext>
          </a:extLst>
        </xdr:cNvPr>
        <xdr:cNvSpPr>
          <a:spLocks noChangeAspect="1" noChangeArrowheads="1"/>
        </xdr:cNvSpPr>
      </xdr:nvSpPr>
      <xdr:spPr bwMode="auto">
        <a:xfrm>
          <a:off x="190500" y="6369050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768350</xdr:colOff>
      <xdr:row>28</xdr:row>
      <xdr:rowOff>0</xdr:rowOff>
    </xdr:from>
    <xdr:ext cx="304800" cy="374650"/>
    <xdr:sp macro="" textlink="">
      <xdr:nvSpPr>
        <xdr:cNvPr id="11" name="AutoShape 10" descr="{\textstyle \ln }">
          <a:extLst>
            <a:ext uri="{FF2B5EF4-FFF2-40B4-BE49-F238E27FC236}">
              <a16:creationId xmlns:a16="http://schemas.microsoft.com/office/drawing/2014/main" id="{C16FC865-F10D-45F0-A31C-E63E30A83665}"/>
            </a:ext>
          </a:extLst>
        </xdr:cNvPr>
        <xdr:cNvSpPr>
          <a:spLocks noChangeAspect="1" noChangeArrowheads="1"/>
        </xdr:cNvSpPr>
      </xdr:nvSpPr>
      <xdr:spPr bwMode="auto">
        <a:xfrm>
          <a:off x="3784600" y="7321550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666750</xdr:colOff>
      <xdr:row>26</xdr:row>
      <xdr:rowOff>0</xdr:rowOff>
    </xdr:from>
    <xdr:ext cx="304800" cy="374650"/>
    <xdr:sp macro="" textlink="">
      <xdr:nvSpPr>
        <xdr:cNvPr id="12" name="AutoShape 12" descr="{\textstyle N}">
          <a:extLst>
            <a:ext uri="{FF2B5EF4-FFF2-40B4-BE49-F238E27FC236}">
              <a16:creationId xmlns:a16="http://schemas.microsoft.com/office/drawing/2014/main" id="{F1E37AB9-BFF0-48D2-ABC9-A758B3FE722D}"/>
            </a:ext>
          </a:extLst>
        </xdr:cNvPr>
        <xdr:cNvSpPr>
          <a:spLocks noChangeAspect="1" noChangeArrowheads="1"/>
        </xdr:cNvSpPr>
      </xdr:nvSpPr>
      <xdr:spPr bwMode="auto">
        <a:xfrm>
          <a:off x="1473200" y="6369050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768350</xdr:colOff>
      <xdr:row>26</xdr:row>
      <xdr:rowOff>0</xdr:rowOff>
    </xdr:from>
    <xdr:ext cx="304800" cy="374650"/>
    <xdr:sp macro="" textlink="">
      <xdr:nvSpPr>
        <xdr:cNvPr id="13" name="AutoShape 10" descr="{\textstyle \ln }">
          <a:extLst>
            <a:ext uri="{FF2B5EF4-FFF2-40B4-BE49-F238E27FC236}">
              <a16:creationId xmlns:a16="http://schemas.microsoft.com/office/drawing/2014/main" id="{433BBEBA-30F3-4A90-95BB-8B01D6C5EE3A}"/>
            </a:ext>
          </a:extLst>
        </xdr:cNvPr>
        <xdr:cNvSpPr>
          <a:spLocks noChangeAspect="1" noChangeArrowheads="1"/>
        </xdr:cNvSpPr>
      </xdr:nvSpPr>
      <xdr:spPr bwMode="auto">
        <a:xfrm>
          <a:off x="3784600" y="6369050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361950</xdr:colOff>
      <xdr:row>27</xdr:row>
      <xdr:rowOff>0</xdr:rowOff>
    </xdr:from>
    <xdr:ext cx="304800" cy="444500"/>
    <xdr:sp macro="" textlink="">
      <xdr:nvSpPr>
        <xdr:cNvPr id="14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E3A72DA8-0FDF-42D7-A935-11E826107CD0}"/>
            </a:ext>
          </a:extLst>
        </xdr:cNvPr>
        <xdr:cNvSpPr>
          <a:spLocks noChangeAspect="1" noChangeArrowheads="1"/>
        </xdr:cNvSpPr>
      </xdr:nvSpPr>
      <xdr:spPr bwMode="auto">
        <a:xfrm>
          <a:off x="7727950" y="6604000"/>
          <a:ext cx="304800" cy="44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361950</xdr:colOff>
      <xdr:row>28</xdr:row>
      <xdr:rowOff>0</xdr:rowOff>
    </xdr:from>
    <xdr:ext cx="304800" cy="444500"/>
    <xdr:sp macro="" textlink="">
      <xdr:nvSpPr>
        <xdr:cNvPr id="15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F92932A6-E702-4423-A219-F9253858DDDA}"/>
            </a:ext>
          </a:extLst>
        </xdr:cNvPr>
        <xdr:cNvSpPr>
          <a:spLocks noChangeAspect="1" noChangeArrowheads="1"/>
        </xdr:cNvSpPr>
      </xdr:nvSpPr>
      <xdr:spPr bwMode="auto">
        <a:xfrm>
          <a:off x="7727950" y="6845300"/>
          <a:ext cx="304800" cy="44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361950</xdr:colOff>
      <xdr:row>28</xdr:row>
      <xdr:rowOff>0</xdr:rowOff>
    </xdr:from>
    <xdr:ext cx="304800" cy="444500"/>
    <xdr:sp macro="" textlink="">
      <xdr:nvSpPr>
        <xdr:cNvPr id="16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AA2D599F-7565-4B44-898F-ADEF26413EDC}"/>
            </a:ext>
          </a:extLst>
        </xdr:cNvPr>
        <xdr:cNvSpPr>
          <a:spLocks noChangeAspect="1" noChangeArrowheads="1"/>
        </xdr:cNvSpPr>
      </xdr:nvSpPr>
      <xdr:spPr bwMode="auto">
        <a:xfrm>
          <a:off x="7727950" y="7080250"/>
          <a:ext cx="304800" cy="44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361950</xdr:colOff>
      <xdr:row>28</xdr:row>
      <xdr:rowOff>0</xdr:rowOff>
    </xdr:from>
    <xdr:ext cx="304800" cy="444500"/>
    <xdr:sp macro="" textlink="">
      <xdr:nvSpPr>
        <xdr:cNvPr id="17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2BE79527-ED6F-4FE4-9E56-34D117A7CF78}"/>
            </a:ext>
          </a:extLst>
        </xdr:cNvPr>
        <xdr:cNvSpPr>
          <a:spLocks noChangeAspect="1" noChangeArrowheads="1"/>
        </xdr:cNvSpPr>
      </xdr:nvSpPr>
      <xdr:spPr bwMode="auto">
        <a:xfrm>
          <a:off x="7727950" y="7080250"/>
          <a:ext cx="304800" cy="44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361950</xdr:colOff>
      <xdr:row>28</xdr:row>
      <xdr:rowOff>0</xdr:rowOff>
    </xdr:from>
    <xdr:ext cx="304800" cy="444500"/>
    <xdr:sp macro="" textlink="">
      <xdr:nvSpPr>
        <xdr:cNvPr id="18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AC7348B7-217A-49E6-A0A3-BBC82664CDF6}"/>
            </a:ext>
          </a:extLst>
        </xdr:cNvPr>
        <xdr:cNvSpPr>
          <a:spLocks noChangeAspect="1" noChangeArrowheads="1"/>
        </xdr:cNvSpPr>
      </xdr:nvSpPr>
      <xdr:spPr bwMode="auto">
        <a:xfrm>
          <a:off x="7727950" y="7321550"/>
          <a:ext cx="304800" cy="44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361950</xdr:colOff>
      <xdr:row>27</xdr:row>
      <xdr:rowOff>0</xdr:rowOff>
    </xdr:from>
    <xdr:ext cx="304800" cy="444500"/>
    <xdr:sp macro="" textlink="">
      <xdr:nvSpPr>
        <xdr:cNvPr id="21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1611FAE2-33D4-405E-AEA7-34B3E00E712C}"/>
            </a:ext>
          </a:extLst>
        </xdr:cNvPr>
        <xdr:cNvSpPr>
          <a:spLocks noChangeAspect="1" noChangeArrowheads="1"/>
        </xdr:cNvSpPr>
      </xdr:nvSpPr>
      <xdr:spPr bwMode="auto">
        <a:xfrm>
          <a:off x="7727950" y="6337300"/>
          <a:ext cx="304800" cy="44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304800</xdr:colOff>
      <xdr:row>37</xdr:row>
      <xdr:rowOff>120650</xdr:rowOff>
    </xdr:to>
    <xdr:sp macro="" textlink="">
      <xdr:nvSpPr>
        <xdr:cNvPr id="57" name="AutoShape 8" descr="{\textstyle O_{i}\geq 0}">
          <a:extLst>
            <a:ext uri="{FF2B5EF4-FFF2-40B4-BE49-F238E27FC236}">
              <a16:creationId xmlns:a16="http://schemas.microsoft.com/office/drawing/2014/main" id="{0B5A6EE4-F4B2-4D06-A850-93E75FC68E2E}"/>
            </a:ext>
          </a:extLst>
        </xdr:cNvPr>
        <xdr:cNvSpPr>
          <a:spLocks noChangeAspect="1" noChangeArrowheads="1"/>
        </xdr:cNvSpPr>
      </xdr:nvSpPr>
      <xdr:spPr bwMode="auto">
        <a:xfrm>
          <a:off x="0" y="459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120650</xdr:rowOff>
    </xdr:to>
    <xdr:sp macro="" textlink="">
      <xdr:nvSpPr>
        <xdr:cNvPr id="58" name="AutoShape 9" descr="{\textstyle E_{i}&gt;0}">
          <a:extLst>
            <a:ext uri="{FF2B5EF4-FFF2-40B4-BE49-F238E27FC236}">
              <a16:creationId xmlns:a16="http://schemas.microsoft.com/office/drawing/2014/main" id="{A4C79770-40B1-4DA7-B5B4-37C21BB1F18A}"/>
            </a:ext>
          </a:extLst>
        </xdr:cNvPr>
        <xdr:cNvSpPr>
          <a:spLocks noChangeAspect="1" noChangeArrowheads="1"/>
        </xdr:cNvSpPr>
      </xdr:nvSpPr>
      <xdr:spPr bwMode="auto">
        <a:xfrm>
          <a:off x="0" y="486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304800</xdr:colOff>
      <xdr:row>40</xdr:row>
      <xdr:rowOff>6350</xdr:rowOff>
    </xdr:to>
    <xdr:sp macro="" textlink="">
      <xdr:nvSpPr>
        <xdr:cNvPr id="59" name="AutoShape 10" descr="{\textstyle \ln }">
          <a:extLst>
            <a:ext uri="{FF2B5EF4-FFF2-40B4-BE49-F238E27FC236}">
              <a16:creationId xmlns:a16="http://schemas.microsoft.com/office/drawing/2014/main" id="{6DC5DD3F-BB92-44B2-BE83-37730EB05C5B}"/>
            </a:ext>
          </a:extLst>
        </xdr:cNvPr>
        <xdr:cNvSpPr>
          <a:spLocks noChangeAspect="1" noChangeArrowheads="1"/>
        </xdr:cNvSpPr>
      </xdr:nvSpPr>
      <xdr:spPr bwMode="auto">
        <a:xfrm>
          <a:off x="0" y="511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304800</xdr:colOff>
      <xdr:row>39</xdr:row>
      <xdr:rowOff>177800</xdr:rowOff>
    </xdr:to>
    <xdr:sp macro="" textlink="">
      <xdr:nvSpPr>
        <xdr:cNvPr id="60" name="AutoShape 11" descr="{\displaystyle \sum _{i}O_{i}=\sum _{i}E_{i}=N}">
          <a:extLst>
            <a:ext uri="{FF2B5EF4-FFF2-40B4-BE49-F238E27FC236}">
              <a16:creationId xmlns:a16="http://schemas.microsoft.com/office/drawing/2014/main" id="{69A242FF-48CB-46EF-91AC-4B2CBD0C1287}"/>
            </a:ext>
          </a:extLst>
        </xdr:cNvPr>
        <xdr:cNvSpPr>
          <a:spLocks noChangeAspect="1" noChangeArrowheads="1"/>
        </xdr:cNvSpPr>
      </xdr:nvSpPr>
      <xdr:spPr bwMode="auto">
        <a:xfrm>
          <a:off x="0" y="589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304800</xdr:colOff>
      <xdr:row>39</xdr:row>
      <xdr:rowOff>177800</xdr:rowOff>
    </xdr:to>
    <xdr:sp macro="" textlink="">
      <xdr:nvSpPr>
        <xdr:cNvPr id="61" name="AutoShape 12" descr="{\textstyle N}">
          <a:extLst>
            <a:ext uri="{FF2B5EF4-FFF2-40B4-BE49-F238E27FC236}">
              <a16:creationId xmlns:a16="http://schemas.microsoft.com/office/drawing/2014/main" id="{00945AB4-D2A8-4C86-9966-9BF577DE2705}"/>
            </a:ext>
          </a:extLst>
        </xdr:cNvPr>
        <xdr:cNvSpPr>
          <a:spLocks noChangeAspect="1" noChangeArrowheads="1"/>
        </xdr:cNvSpPr>
      </xdr:nvSpPr>
      <xdr:spPr bwMode="auto">
        <a:xfrm>
          <a:off x="0" y="690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361950</xdr:colOff>
      <xdr:row>38</xdr:row>
      <xdr:rowOff>0</xdr:rowOff>
    </xdr:from>
    <xdr:to>
      <xdr:col>12</xdr:col>
      <xdr:colOff>57150</xdr:colOff>
      <xdr:row>41</xdr:row>
      <xdr:rowOff>63500</xdr:rowOff>
    </xdr:to>
    <xdr:sp macro="" textlink="">
      <xdr:nvSpPr>
        <xdr:cNvPr id="62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D1E150E3-3A3D-4452-ADBD-54C210E6463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508750"/>
          <a:ext cx="304800" cy="44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304800</xdr:colOff>
      <xdr:row>40</xdr:row>
      <xdr:rowOff>120650</xdr:rowOff>
    </xdr:to>
    <xdr:sp macro="" textlink="">
      <xdr:nvSpPr>
        <xdr:cNvPr id="63" name="AutoShape 8" descr="{\textstyle O_{i}\geq 0}">
          <a:extLst>
            <a:ext uri="{FF2B5EF4-FFF2-40B4-BE49-F238E27FC236}">
              <a16:creationId xmlns:a16="http://schemas.microsoft.com/office/drawing/2014/main" id="{FC4E4707-FB65-4895-A83D-102F4F995BC6}"/>
            </a:ext>
          </a:extLst>
        </xdr:cNvPr>
        <xdr:cNvSpPr>
          <a:spLocks noChangeAspect="1" noChangeArrowheads="1"/>
        </xdr:cNvSpPr>
      </xdr:nvSpPr>
      <xdr:spPr bwMode="auto">
        <a:xfrm>
          <a:off x="0" y="5384800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304800</xdr:colOff>
      <xdr:row>40</xdr:row>
      <xdr:rowOff>120650</xdr:rowOff>
    </xdr:to>
    <xdr:sp macro="" textlink="">
      <xdr:nvSpPr>
        <xdr:cNvPr id="64" name="AutoShape 9" descr="{\textstyle E_{i}&gt;0}">
          <a:extLst>
            <a:ext uri="{FF2B5EF4-FFF2-40B4-BE49-F238E27FC236}">
              <a16:creationId xmlns:a16="http://schemas.microsoft.com/office/drawing/2014/main" id="{82F72CA5-0064-4DBD-96FA-33798D44993E}"/>
            </a:ext>
          </a:extLst>
        </xdr:cNvPr>
        <xdr:cNvSpPr>
          <a:spLocks noChangeAspect="1" noChangeArrowheads="1"/>
        </xdr:cNvSpPr>
      </xdr:nvSpPr>
      <xdr:spPr bwMode="auto">
        <a:xfrm>
          <a:off x="0" y="5638800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304800</xdr:colOff>
      <xdr:row>40</xdr:row>
      <xdr:rowOff>120650</xdr:rowOff>
    </xdr:to>
    <xdr:sp macro="" textlink="">
      <xdr:nvSpPr>
        <xdr:cNvPr id="65" name="AutoShape 10" descr="{\textstyle \ln }">
          <a:extLst>
            <a:ext uri="{FF2B5EF4-FFF2-40B4-BE49-F238E27FC236}">
              <a16:creationId xmlns:a16="http://schemas.microsoft.com/office/drawing/2014/main" id="{97B0692E-3AE3-4D56-9F36-A15B396C2A52}"/>
            </a:ext>
          </a:extLst>
        </xdr:cNvPr>
        <xdr:cNvSpPr>
          <a:spLocks noChangeAspect="1" noChangeArrowheads="1"/>
        </xdr:cNvSpPr>
      </xdr:nvSpPr>
      <xdr:spPr bwMode="auto">
        <a:xfrm>
          <a:off x="0" y="5892800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304800</xdr:colOff>
      <xdr:row>40</xdr:row>
      <xdr:rowOff>120650</xdr:rowOff>
    </xdr:to>
    <xdr:sp macro="" textlink="">
      <xdr:nvSpPr>
        <xdr:cNvPr id="66" name="AutoShape 11" descr="{\displaystyle \sum _{i}O_{i}=\sum _{i}E_{i}=N}">
          <a:extLst>
            <a:ext uri="{FF2B5EF4-FFF2-40B4-BE49-F238E27FC236}">
              <a16:creationId xmlns:a16="http://schemas.microsoft.com/office/drawing/2014/main" id="{F3EAC3A4-454C-430B-B049-0AECD703F190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304800</xdr:colOff>
      <xdr:row>40</xdr:row>
      <xdr:rowOff>63500</xdr:rowOff>
    </xdr:to>
    <xdr:sp macro="" textlink="">
      <xdr:nvSpPr>
        <xdr:cNvPr id="67" name="AutoShape 12" descr="{\textstyle N}">
          <a:extLst>
            <a:ext uri="{FF2B5EF4-FFF2-40B4-BE49-F238E27FC236}">
              <a16:creationId xmlns:a16="http://schemas.microsoft.com/office/drawing/2014/main" id="{F8DCCB10-0316-455A-BF19-F89F3838526D}"/>
            </a:ext>
          </a:extLst>
        </xdr:cNvPr>
        <xdr:cNvSpPr>
          <a:spLocks noChangeAspect="1" noChangeArrowheads="1"/>
        </xdr:cNvSpPr>
      </xdr:nvSpPr>
      <xdr:spPr bwMode="auto">
        <a:xfrm>
          <a:off x="0" y="7670800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FE418-1FFA-4CDE-9AE4-A6A0A94E2E30}">
  <sheetPr>
    <tabColor rgb="FFFFFF00"/>
  </sheetPr>
  <dimension ref="B1:V29"/>
  <sheetViews>
    <sheetView workbookViewId="0">
      <pane ySplit="1" topLeftCell="A2" activePane="bottomLeft" state="frozen"/>
      <selection pane="bottomLeft" activeCell="F36" sqref="F36"/>
    </sheetView>
  </sheetViews>
  <sheetFormatPr defaultColWidth="8.85546875" defaultRowHeight="15" x14ac:dyDescent="0.25"/>
  <cols>
    <col min="1" max="1" width="2.7109375" customWidth="1"/>
    <col min="20" max="23" width="10.7109375" customWidth="1"/>
  </cols>
  <sheetData>
    <row r="1" spans="2:22" s="207" customFormat="1" ht="20.100000000000001" customHeight="1" x14ac:dyDescent="0.25">
      <c r="B1" s="1" t="s">
        <v>0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</row>
    <row r="3" spans="2:22" s="9" customFormat="1" ht="21" x14ac:dyDescent="0.35">
      <c r="B3" s="361" t="s">
        <v>246</v>
      </c>
    </row>
    <row r="4" spans="2:22" s="39" customFormat="1" ht="18.75" x14ac:dyDescent="0.3"/>
    <row r="5" spans="2:22" s="39" customFormat="1" ht="21" x14ac:dyDescent="0.35">
      <c r="B5" s="39" t="s">
        <v>247</v>
      </c>
    </row>
    <row r="6" spans="2:22" s="39" customFormat="1" ht="18.75" x14ac:dyDescent="0.3">
      <c r="C6" s="39" t="s">
        <v>248</v>
      </c>
    </row>
    <row r="7" spans="2:22" s="39" customFormat="1" ht="18.75" x14ac:dyDescent="0.3">
      <c r="D7" s="39" t="s">
        <v>249</v>
      </c>
    </row>
    <row r="8" spans="2:22" s="39" customFormat="1" ht="18.75" x14ac:dyDescent="0.3">
      <c r="D8" s="39" t="s">
        <v>250</v>
      </c>
    </row>
    <row r="9" spans="2:22" s="39" customFormat="1" ht="18.75" x14ac:dyDescent="0.3">
      <c r="D9" s="39" t="s">
        <v>251</v>
      </c>
    </row>
    <row r="10" spans="2:22" s="39" customFormat="1" ht="18.75" x14ac:dyDescent="0.3">
      <c r="E10" s="39" t="s">
        <v>252</v>
      </c>
    </row>
    <row r="11" spans="2:22" s="39" customFormat="1" ht="18.75" x14ac:dyDescent="0.3">
      <c r="D11" s="39" t="s">
        <v>253</v>
      </c>
    </row>
    <row r="12" spans="2:22" s="39" customFormat="1" ht="18.75" x14ac:dyDescent="0.3">
      <c r="D12" s="39" t="s">
        <v>254</v>
      </c>
    </row>
    <row r="13" spans="2:22" s="39" customFormat="1" ht="18.75" x14ac:dyDescent="0.3">
      <c r="C13" s="39" t="s">
        <v>255</v>
      </c>
    </row>
    <row r="14" spans="2:22" s="39" customFormat="1" ht="18.75" x14ac:dyDescent="0.3">
      <c r="C14" s="39" t="s">
        <v>256</v>
      </c>
      <c r="T14"/>
      <c r="U14"/>
      <c r="V14"/>
    </row>
    <row r="15" spans="2:22" s="39" customFormat="1" ht="18.75" x14ac:dyDescent="0.3">
      <c r="S15"/>
      <c r="T15"/>
      <c r="U15"/>
      <c r="V15"/>
    </row>
    <row r="16" spans="2:22" s="39" customFormat="1" ht="21" x14ac:dyDescent="0.35">
      <c r="B16" s="39" t="s">
        <v>257</v>
      </c>
      <c r="S16"/>
      <c r="T16"/>
      <c r="U16"/>
      <c r="V16"/>
    </row>
    <row r="17" spans="2:22" s="39" customFormat="1" ht="18.75" x14ac:dyDescent="0.3">
      <c r="C17" s="39" t="s">
        <v>258</v>
      </c>
      <c r="S17"/>
      <c r="T17"/>
      <c r="U17"/>
      <c r="V17"/>
    </row>
    <row r="18" spans="2:22" s="39" customFormat="1" ht="18.75" x14ac:dyDescent="0.3">
      <c r="C18" s="39" t="s">
        <v>259</v>
      </c>
      <c r="S18"/>
      <c r="T18"/>
      <c r="U18"/>
      <c r="V18"/>
    </row>
    <row r="19" spans="2:22" s="39" customFormat="1" ht="19.5" thickBot="1" x14ac:dyDescent="0.35">
      <c r="S19"/>
      <c r="T19"/>
      <c r="U19"/>
      <c r="V19"/>
    </row>
    <row r="20" spans="2:22" ht="19.5" thickBot="1" x14ac:dyDescent="0.35">
      <c r="C20" s="362" t="s">
        <v>260</v>
      </c>
      <c r="D20" s="363"/>
      <c r="E20" s="363"/>
      <c r="F20" s="364"/>
    </row>
    <row r="21" spans="2:22" ht="18.75" x14ac:dyDescent="0.3">
      <c r="C21" s="106"/>
      <c r="D21" s="362" t="s">
        <v>261</v>
      </c>
      <c r="E21" s="363"/>
      <c r="F21" s="364"/>
    </row>
    <row r="22" spans="2:22" ht="19.5" thickBot="1" x14ac:dyDescent="0.35">
      <c r="C22" s="365" t="s">
        <v>8</v>
      </c>
      <c r="D22" s="366">
        <v>0.05</v>
      </c>
      <c r="E22" s="367">
        <v>0.01</v>
      </c>
      <c r="F22" s="368">
        <v>1E-3</v>
      </c>
    </row>
    <row r="23" spans="2:22" ht="18.75" x14ac:dyDescent="0.3">
      <c r="C23" s="369">
        <v>1</v>
      </c>
      <c r="D23" s="370">
        <v>3.8410000000000002</v>
      </c>
      <c r="E23" s="371">
        <v>6.6349999999999998</v>
      </c>
      <c r="F23" s="372">
        <v>10.827999999999999</v>
      </c>
    </row>
    <row r="24" spans="2:22" ht="18.75" x14ac:dyDescent="0.3">
      <c r="C24" s="369">
        <v>2</v>
      </c>
      <c r="D24" s="373">
        <v>5.9909999999999997</v>
      </c>
      <c r="E24" s="41">
        <v>9.2100000000000009</v>
      </c>
      <c r="F24" s="94">
        <v>13.816000000000001</v>
      </c>
    </row>
    <row r="25" spans="2:22" ht="19.5" thickBot="1" x14ac:dyDescent="0.35">
      <c r="C25" s="374">
        <v>3</v>
      </c>
      <c r="D25" s="375">
        <v>7.8150000000000004</v>
      </c>
      <c r="E25" s="376">
        <v>11.345000000000001</v>
      </c>
      <c r="F25" s="377">
        <v>16.265999999999998</v>
      </c>
    </row>
    <row r="27" spans="2:22" s="3" customFormat="1" ht="21" x14ac:dyDescent="0.35">
      <c r="B27" s="378" t="s">
        <v>262</v>
      </c>
    </row>
    <row r="28" spans="2:22" s="9" customFormat="1" ht="21" x14ac:dyDescent="0.35"/>
    <row r="29" spans="2:22" s="9" customFormat="1" ht="21" x14ac:dyDescent="0.35">
      <c r="B29" s="9" t="s">
        <v>263</v>
      </c>
    </row>
  </sheetData>
  <mergeCells count="2">
    <mergeCell ref="C20:F20"/>
    <mergeCell ref="D21:F2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BBB2-3D96-4B21-A218-F638FB4E800D}">
  <sheetPr>
    <tabColor rgb="FFFF0000"/>
  </sheetPr>
  <dimension ref="A1:R98"/>
  <sheetViews>
    <sheetView workbookViewId="0">
      <pane ySplit="5" topLeftCell="A6" activePane="bottomLeft" state="frozen"/>
      <selection pane="bottomLeft" activeCell="B2" sqref="B2:P2"/>
    </sheetView>
  </sheetViews>
  <sheetFormatPr defaultRowHeight="15" x14ac:dyDescent="0.25"/>
  <cols>
    <col min="2" max="2" width="31.5703125" customWidth="1"/>
    <col min="3" max="6" width="8.7109375" style="49"/>
  </cols>
  <sheetData>
    <row r="1" spans="1:18" x14ac:dyDescent="0.25">
      <c r="B1" s="246" t="s">
        <v>0</v>
      </c>
      <c r="C1" s="246"/>
      <c r="D1" s="246"/>
      <c r="E1" s="246"/>
      <c r="F1" s="246"/>
      <c r="G1" s="246"/>
      <c r="H1" s="246"/>
      <c r="I1" s="246"/>
      <c r="J1" s="246"/>
      <c r="K1" s="247"/>
      <c r="L1" s="208"/>
      <c r="M1" s="208"/>
    </row>
    <row r="2" spans="1:18" s="3" customFormat="1" ht="21.75" thickBot="1" x14ac:dyDescent="0.4">
      <c r="B2" s="309" t="s">
        <v>268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</row>
    <row r="3" spans="1:18" ht="19.5" thickBot="1" x14ac:dyDescent="0.35">
      <c r="K3" s="338" t="s">
        <v>243</v>
      </c>
      <c r="L3" s="339"/>
      <c r="M3" s="339"/>
      <c r="N3" s="339"/>
      <c r="O3" s="339"/>
      <c r="P3" s="339"/>
      <c r="Q3" s="340"/>
    </row>
    <row r="4" spans="1:18" ht="21" x14ac:dyDescent="0.35">
      <c r="B4" s="56"/>
      <c r="C4" s="324" t="s">
        <v>52</v>
      </c>
      <c r="D4" s="325"/>
      <c r="E4" s="325"/>
      <c r="F4" s="325"/>
      <c r="G4" s="326" t="s">
        <v>240</v>
      </c>
      <c r="H4" s="326"/>
      <c r="I4" s="326"/>
      <c r="J4" s="57" t="s">
        <v>54</v>
      </c>
      <c r="K4" s="327" t="s">
        <v>241</v>
      </c>
      <c r="L4" s="327"/>
      <c r="M4" s="327"/>
      <c r="N4" s="322" t="s">
        <v>56</v>
      </c>
      <c r="O4" s="323"/>
      <c r="P4" s="323"/>
      <c r="Q4" s="323"/>
      <c r="R4" s="58"/>
    </row>
    <row r="5" spans="1:18" ht="21" x14ac:dyDescent="0.35">
      <c r="A5" s="60" t="s">
        <v>57</v>
      </c>
      <c r="B5" s="61" t="s">
        <v>58</v>
      </c>
      <c r="C5" s="285" t="s">
        <v>59</v>
      </c>
      <c r="D5" s="285" t="s">
        <v>60</v>
      </c>
      <c r="E5" s="285" t="s">
        <v>61</v>
      </c>
      <c r="F5" s="285" t="s">
        <v>62</v>
      </c>
      <c r="G5" s="63" t="s">
        <v>63</v>
      </c>
      <c r="H5" s="64" t="s">
        <v>64</v>
      </c>
      <c r="I5" s="64" t="s">
        <v>65</v>
      </c>
      <c r="J5" s="65" t="s">
        <v>66</v>
      </c>
      <c r="K5" s="66" t="s">
        <v>63</v>
      </c>
      <c r="L5" s="67" t="s">
        <v>64</v>
      </c>
      <c r="M5" s="67" t="s">
        <v>65</v>
      </c>
      <c r="N5" s="68" t="s">
        <v>63</v>
      </c>
      <c r="O5" s="69" t="s">
        <v>64</v>
      </c>
      <c r="P5" s="69" t="s">
        <v>67</v>
      </c>
      <c r="Q5" s="69" t="s">
        <v>65</v>
      </c>
      <c r="R5" s="70" t="s">
        <v>26</v>
      </c>
    </row>
    <row r="6" spans="1:18" ht="21" x14ac:dyDescent="0.35">
      <c r="A6" s="54">
        <v>1</v>
      </c>
      <c r="B6" s="9" t="s">
        <v>72</v>
      </c>
      <c r="C6" s="45">
        <v>0.39</v>
      </c>
      <c r="D6" s="45">
        <v>0</v>
      </c>
      <c r="E6" s="45">
        <v>0</v>
      </c>
      <c r="F6" s="45">
        <v>0.61</v>
      </c>
      <c r="G6" s="41">
        <f t="shared" ref="G6" si="0" xml:space="preserve"> SQRT(F6 + C6) - I6</f>
        <v>0.21897503240933458</v>
      </c>
      <c r="H6" s="41">
        <f t="shared" ref="H6" si="1" xml:space="preserve"> SQRT(F6 + D6) - I6</f>
        <v>0</v>
      </c>
      <c r="I6" s="41">
        <f t="shared" ref="I6" si="2">SQRT(F6)</f>
        <v>0.78102496759066542</v>
      </c>
      <c r="J6" s="55">
        <f t="shared" ref="J6" si="3" xml:space="preserve"> 1 - SUM(G6:I6)</f>
        <v>0</v>
      </c>
      <c r="K6" s="41">
        <f t="shared" ref="K6" si="4">G6*(1 + J6/2)</f>
        <v>0.21897503240933458</v>
      </c>
      <c r="L6" s="41">
        <f t="shared" ref="L6" si="5">H6*(1 + J6/2)</f>
        <v>0</v>
      </c>
      <c r="M6" s="41">
        <f t="shared" ref="M6" si="6">(I6 +J6/2) * (1 + J6/2)</f>
        <v>0.78102496759066542</v>
      </c>
      <c r="N6" s="41">
        <f t="shared" ref="N6" si="7">K6^2 + 2*K6*M6</f>
        <v>0.39000000000000007</v>
      </c>
      <c r="O6" s="41">
        <f t="shared" ref="O6" si="8">L6^2 + 2*L6*M6</f>
        <v>0</v>
      </c>
      <c r="P6" s="41">
        <f t="shared" ref="P6" si="9">2*K6*L6</f>
        <v>0</v>
      </c>
      <c r="Q6" s="41">
        <f t="shared" ref="Q6" si="10">M6^2</f>
        <v>0.61</v>
      </c>
      <c r="R6" s="55">
        <f t="shared" ref="R6" si="11">SUM(N6:Q6)</f>
        <v>1</v>
      </c>
    </row>
    <row r="7" spans="1:18" ht="21" x14ac:dyDescent="0.35">
      <c r="A7" s="54">
        <v>2</v>
      </c>
      <c r="B7" s="9" t="s">
        <v>73</v>
      </c>
      <c r="C7" s="45">
        <v>0.27</v>
      </c>
      <c r="D7" s="45">
        <v>0.25</v>
      </c>
      <c r="E7" s="45">
        <v>0.05</v>
      </c>
      <c r="F7" s="45">
        <v>0.43</v>
      </c>
    </row>
    <row r="8" spans="1:18" ht="21" x14ac:dyDescent="0.3">
      <c r="A8" s="54">
        <v>3</v>
      </c>
      <c r="B8" s="78" t="s">
        <v>74</v>
      </c>
      <c r="C8" s="45">
        <v>0.32</v>
      </c>
      <c r="D8" s="45">
        <v>0.32</v>
      </c>
      <c r="E8" s="45">
        <v>0.18</v>
      </c>
      <c r="F8" s="45">
        <v>0.17</v>
      </c>
    </row>
    <row r="9" spans="1:18" ht="21" x14ac:dyDescent="0.35">
      <c r="A9" s="54">
        <v>4</v>
      </c>
      <c r="B9" s="9" t="s">
        <v>75</v>
      </c>
      <c r="C9" s="45">
        <v>0.43</v>
      </c>
      <c r="D9" s="45">
        <v>0.13</v>
      </c>
      <c r="E9" s="45">
        <v>0.06</v>
      </c>
      <c r="F9" s="45">
        <v>0.38</v>
      </c>
    </row>
    <row r="10" spans="1:18" ht="21" x14ac:dyDescent="0.35">
      <c r="A10" s="306">
        <v>5</v>
      </c>
      <c r="B10" s="307" t="s">
        <v>76</v>
      </c>
      <c r="C10" s="79">
        <v>0.6</v>
      </c>
      <c r="D10" s="79">
        <v>0.23</v>
      </c>
      <c r="E10" s="79">
        <v>0.09</v>
      </c>
      <c r="F10" s="79">
        <v>0.09</v>
      </c>
    </row>
    <row r="11" spans="1:18" ht="21" x14ac:dyDescent="0.35">
      <c r="A11" s="54">
        <v>6</v>
      </c>
      <c r="B11" s="9" t="s">
        <v>77</v>
      </c>
      <c r="C11" s="45">
        <v>0.31</v>
      </c>
      <c r="D11" s="45">
        <v>0.28999999999999998</v>
      </c>
      <c r="E11" s="45">
        <v>0.06</v>
      </c>
      <c r="F11" s="45">
        <v>0.34</v>
      </c>
    </row>
    <row r="12" spans="1:18" ht="21" x14ac:dyDescent="0.35">
      <c r="A12" s="54">
        <v>7</v>
      </c>
      <c r="B12" s="9" t="s">
        <v>78</v>
      </c>
      <c r="C12" s="45">
        <v>0.5</v>
      </c>
      <c r="D12" s="45">
        <v>0.13</v>
      </c>
      <c r="E12" s="45">
        <v>0.06</v>
      </c>
      <c r="F12" s="45">
        <v>0.31</v>
      </c>
    </row>
    <row r="13" spans="1:18" ht="21" x14ac:dyDescent="0.35">
      <c r="A13" s="54">
        <v>8</v>
      </c>
      <c r="B13" s="9" t="s">
        <v>79</v>
      </c>
      <c r="C13" s="45">
        <v>0.28000000000000003</v>
      </c>
      <c r="D13" s="45">
        <v>0.27</v>
      </c>
      <c r="E13" s="45">
        <v>0.05</v>
      </c>
      <c r="F13" s="45">
        <v>0.4</v>
      </c>
    </row>
    <row r="14" spans="1:18" ht="21" x14ac:dyDescent="0.35">
      <c r="A14" s="54">
        <v>9</v>
      </c>
      <c r="B14" s="9" t="s">
        <v>80</v>
      </c>
      <c r="C14" s="45">
        <v>0.44</v>
      </c>
      <c r="D14" s="45">
        <v>0.13</v>
      </c>
      <c r="E14" s="45">
        <v>0.06</v>
      </c>
      <c r="F14" s="45">
        <v>0.36</v>
      </c>
    </row>
    <row r="15" spans="1:18" ht="21" x14ac:dyDescent="0.35">
      <c r="A15" s="54">
        <v>10</v>
      </c>
      <c r="B15" s="9" t="s">
        <v>81</v>
      </c>
      <c r="C15" s="45">
        <v>0.3</v>
      </c>
      <c r="D15" s="45">
        <v>0.19</v>
      </c>
      <c r="E15" s="45">
        <v>0.05</v>
      </c>
      <c r="F15" s="45">
        <v>0.46</v>
      </c>
    </row>
    <row r="16" spans="1:18" ht="21" x14ac:dyDescent="0.35">
      <c r="A16" s="54">
        <v>11</v>
      </c>
      <c r="B16" s="9" t="s">
        <v>82</v>
      </c>
      <c r="C16" s="45">
        <v>0.44</v>
      </c>
      <c r="D16" s="45">
        <v>0.04</v>
      </c>
      <c r="E16" s="45">
        <v>0.01</v>
      </c>
      <c r="F16" s="45">
        <v>0.51</v>
      </c>
    </row>
    <row r="17" spans="1:6" ht="21" x14ac:dyDescent="0.35">
      <c r="A17" s="54">
        <v>12</v>
      </c>
      <c r="B17" s="9" t="s">
        <v>83</v>
      </c>
      <c r="C17" s="45">
        <v>0.42</v>
      </c>
      <c r="D17" s="45">
        <v>0.08</v>
      </c>
      <c r="E17" s="45">
        <v>0.03</v>
      </c>
      <c r="F17" s="45">
        <v>0.47</v>
      </c>
    </row>
    <row r="18" spans="1:6" ht="21" x14ac:dyDescent="0.3">
      <c r="A18" s="54">
        <v>13</v>
      </c>
      <c r="B18" s="78" t="s">
        <v>84</v>
      </c>
      <c r="C18" s="45">
        <v>0</v>
      </c>
      <c r="D18" s="45">
        <v>0</v>
      </c>
      <c r="E18" s="45">
        <v>0</v>
      </c>
      <c r="F18" s="45">
        <v>1</v>
      </c>
    </row>
    <row r="19" spans="1:6" ht="21" x14ac:dyDescent="0.35">
      <c r="A19" s="54">
        <v>14</v>
      </c>
      <c r="B19" s="9" t="s">
        <v>85</v>
      </c>
      <c r="C19" s="45">
        <v>0.41</v>
      </c>
      <c r="D19" s="45">
        <v>0.09</v>
      </c>
      <c r="E19" s="45">
        <v>0.03</v>
      </c>
      <c r="F19" s="45">
        <v>0.47</v>
      </c>
    </row>
    <row r="20" spans="1:6" ht="21" x14ac:dyDescent="0.35">
      <c r="A20" s="54">
        <v>15</v>
      </c>
      <c r="B20" s="9" t="s">
        <v>86</v>
      </c>
      <c r="C20" s="45">
        <v>0.44</v>
      </c>
      <c r="D20" s="45">
        <v>0.15</v>
      </c>
      <c r="E20" s="45">
        <v>0.08</v>
      </c>
      <c r="F20" s="45">
        <v>0.32</v>
      </c>
    </row>
    <row r="21" spans="1:6" ht="21" x14ac:dyDescent="0.35">
      <c r="A21" s="54">
        <v>16</v>
      </c>
      <c r="B21" s="9" t="s">
        <v>87</v>
      </c>
      <c r="C21" s="45">
        <v>0.24</v>
      </c>
      <c r="D21" s="45">
        <v>0.33</v>
      </c>
      <c r="E21" s="45">
        <v>7.0000000000000007E-2</v>
      </c>
      <c r="F21" s="45">
        <v>0.36</v>
      </c>
    </row>
    <row r="22" spans="1:6" ht="21" x14ac:dyDescent="0.3">
      <c r="A22" s="54">
        <v>17</v>
      </c>
      <c r="B22" s="78" t="s">
        <v>88</v>
      </c>
      <c r="C22" s="45">
        <v>0.21</v>
      </c>
      <c r="D22" s="45">
        <v>0.38</v>
      </c>
      <c r="E22" s="45">
        <v>0.08</v>
      </c>
      <c r="F22" s="45">
        <v>0.33</v>
      </c>
    </row>
    <row r="23" spans="1:6" ht="21" x14ac:dyDescent="0.35">
      <c r="A23" s="54">
        <v>18</v>
      </c>
      <c r="B23" s="9" t="s">
        <v>89</v>
      </c>
      <c r="C23" s="45">
        <v>0.34</v>
      </c>
      <c r="D23" s="45">
        <v>0.09</v>
      </c>
      <c r="E23" s="45">
        <v>0.02</v>
      </c>
      <c r="F23" s="45">
        <v>0.56000000000000005</v>
      </c>
    </row>
    <row r="24" spans="1:6" ht="21" x14ac:dyDescent="0.3">
      <c r="A24" s="54">
        <v>19</v>
      </c>
      <c r="B24" s="78" t="s">
        <v>90</v>
      </c>
      <c r="C24" s="45">
        <v>0.23</v>
      </c>
      <c r="D24" s="45">
        <v>0.25</v>
      </c>
      <c r="E24" s="45">
        <v>0.06</v>
      </c>
      <c r="F24" s="45">
        <v>0.46</v>
      </c>
    </row>
    <row r="25" spans="1:6" ht="21" x14ac:dyDescent="0.3">
      <c r="A25" s="54">
        <v>20</v>
      </c>
      <c r="B25" s="78" t="s">
        <v>91</v>
      </c>
      <c r="C25" s="45">
        <v>0.32</v>
      </c>
      <c r="D25" s="45">
        <v>0.25</v>
      </c>
      <c r="E25" s="45">
        <v>0.09</v>
      </c>
      <c r="F25" s="45">
        <v>0.35</v>
      </c>
    </row>
    <row r="26" spans="1:6" ht="21" x14ac:dyDescent="0.3">
      <c r="A26" s="54">
        <v>21</v>
      </c>
      <c r="B26" s="78" t="s">
        <v>92</v>
      </c>
      <c r="C26" s="45">
        <v>0.32</v>
      </c>
      <c r="D26" s="45">
        <v>0.27</v>
      </c>
      <c r="E26" s="45">
        <v>0.1</v>
      </c>
      <c r="F26" s="45">
        <v>0.31</v>
      </c>
    </row>
    <row r="27" spans="1:6" ht="21" x14ac:dyDescent="0.3">
      <c r="A27" s="54">
        <v>22</v>
      </c>
      <c r="B27" s="78" t="s">
        <v>93</v>
      </c>
      <c r="C27" s="45">
        <v>0.27</v>
      </c>
      <c r="D27" s="45">
        <v>0.32</v>
      </c>
      <c r="E27" s="45">
        <v>0.13</v>
      </c>
      <c r="F27" s="45">
        <v>0.28999999999999998</v>
      </c>
    </row>
    <row r="28" spans="1:6" ht="21" x14ac:dyDescent="0.35">
      <c r="A28" s="54">
        <v>23</v>
      </c>
      <c r="B28" s="9" t="s">
        <v>94</v>
      </c>
      <c r="C28" s="45">
        <v>0.28999999999999998</v>
      </c>
      <c r="D28" s="45">
        <v>0.33</v>
      </c>
      <c r="E28" s="45">
        <v>7.0000000000000007E-2</v>
      </c>
      <c r="F28" s="45">
        <v>0.3</v>
      </c>
    </row>
    <row r="29" spans="1:6" ht="21" x14ac:dyDescent="0.35">
      <c r="A29" s="54">
        <v>24</v>
      </c>
      <c r="B29" s="9" t="s">
        <v>95</v>
      </c>
      <c r="C29" s="45">
        <v>0.34</v>
      </c>
      <c r="D29" s="45">
        <v>0.17</v>
      </c>
      <c r="E29" s="45">
        <v>7.0000000000000007E-2</v>
      </c>
      <c r="F29" s="45">
        <v>0.42</v>
      </c>
    </row>
    <row r="30" spans="1:6" ht="21" x14ac:dyDescent="0.35">
      <c r="A30" s="54">
        <v>25</v>
      </c>
      <c r="B30" s="9" t="s">
        <v>96</v>
      </c>
      <c r="C30" s="45">
        <v>0.44</v>
      </c>
      <c r="D30" s="45">
        <v>0.18</v>
      </c>
      <c r="E30" s="45">
        <v>0.09</v>
      </c>
      <c r="F30" s="45">
        <v>0.3</v>
      </c>
    </row>
    <row r="31" spans="1:6" ht="21" x14ac:dyDescent="0.35">
      <c r="A31" s="54">
        <v>26</v>
      </c>
      <c r="B31" s="9" t="s">
        <v>97</v>
      </c>
      <c r="C31" s="45">
        <v>0.44</v>
      </c>
      <c r="D31" s="45">
        <v>0.11</v>
      </c>
      <c r="E31" s="45">
        <v>0.04</v>
      </c>
      <c r="F31" s="45">
        <v>0.41</v>
      </c>
    </row>
    <row r="32" spans="1:6" ht="21" x14ac:dyDescent="0.35">
      <c r="A32" s="54">
        <v>27</v>
      </c>
      <c r="B32" s="9" t="s">
        <v>98</v>
      </c>
      <c r="C32" s="45">
        <v>0.43</v>
      </c>
      <c r="D32" s="45">
        <v>0.09</v>
      </c>
      <c r="E32" s="45">
        <v>0.03</v>
      </c>
      <c r="F32" s="45">
        <v>0.45</v>
      </c>
    </row>
    <row r="33" spans="1:6" ht="21" x14ac:dyDescent="0.35">
      <c r="A33" s="54">
        <v>28</v>
      </c>
      <c r="B33" s="9" t="s">
        <v>99</v>
      </c>
      <c r="C33" s="45">
        <v>0.36</v>
      </c>
      <c r="D33" s="45">
        <v>0.24</v>
      </c>
      <c r="E33" s="45">
        <v>0.08</v>
      </c>
      <c r="F33" s="45">
        <v>0.33</v>
      </c>
    </row>
    <row r="34" spans="1:6" ht="21" x14ac:dyDescent="0.35">
      <c r="A34" s="54">
        <v>29</v>
      </c>
      <c r="B34" s="9" t="s">
        <v>100</v>
      </c>
      <c r="C34" s="45">
        <v>0.42</v>
      </c>
      <c r="D34" s="45">
        <v>0.09</v>
      </c>
      <c r="E34" s="45">
        <v>0.03</v>
      </c>
      <c r="F34" s="45">
        <v>0.47</v>
      </c>
    </row>
    <row r="35" spans="1:6" ht="21" x14ac:dyDescent="0.3">
      <c r="A35" s="54">
        <v>30</v>
      </c>
      <c r="B35" s="78" t="s">
        <v>101</v>
      </c>
      <c r="C35" s="45">
        <v>0.44</v>
      </c>
      <c r="D35" s="45">
        <v>0.13</v>
      </c>
      <c r="E35" s="45">
        <v>0.05</v>
      </c>
      <c r="F35" s="45">
        <v>0.38</v>
      </c>
    </row>
    <row r="36" spans="1:6" ht="37.5" x14ac:dyDescent="0.3">
      <c r="A36" s="54">
        <v>31</v>
      </c>
      <c r="B36" s="80" t="s">
        <v>102</v>
      </c>
      <c r="C36" s="45">
        <v>0.36</v>
      </c>
      <c r="D36" s="45">
        <v>0.23</v>
      </c>
      <c r="E36" s="45">
        <v>0.08</v>
      </c>
      <c r="F36" s="81">
        <v>0.34</v>
      </c>
    </row>
    <row r="37" spans="1:6" ht="21" x14ac:dyDescent="0.3">
      <c r="A37" s="54">
        <v>32</v>
      </c>
      <c r="B37" s="78" t="s">
        <v>103</v>
      </c>
      <c r="C37" s="79">
        <v>0.36</v>
      </c>
      <c r="D37" s="79">
        <v>0.23</v>
      </c>
      <c r="E37" s="79">
        <v>0.08</v>
      </c>
      <c r="F37" s="81">
        <v>0.54</v>
      </c>
    </row>
    <row r="38" spans="1:6" ht="21" x14ac:dyDescent="0.35">
      <c r="A38" s="54">
        <v>33</v>
      </c>
      <c r="B38" s="9" t="s">
        <v>104</v>
      </c>
      <c r="C38" s="45">
        <v>0.36</v>
      </c>
      <c r="D38" s="45">
        <v>0.23</v>
      </c>
      <c r="E38" s="45">
        <v>0.08</v>
      </c>
      <c r="F38" s="45">
        <v>0.34</v>
      </c>
    </row>
    <row r="39" spans="1:6" ht="21" x14ac:dyDescent="0.35">
      <c r="A39" s="54">
        <v>34</v>
      </c>
      <c r="B39" s="9" t="s">
        <v>105</v>
      </c>
      <c r="C39" s="45">
        <v>0.34</v>
      </c>
      <c r="D39" s="45">
        <v>0.17</v>
      </c>
      <c r="E39" s="45">
        <v>0.06</v>
      </c>
      <c r="F39" s="45">
        <v>0.44</v>
      </c>
    </row>
    <row r="40" spans="1:6" ht="21" x14ac:dyDescent="0.35">
      <c r="A40" s="54">
        <v>35</v>
      </c>
      <c r="B40" s="9" t="s">
        <v>106</v>
      </c>
      <c r="C40" s="45">
        <v>0.41</v>
      </c>
      <c r="D40" s="45">
        <v>0.18</v>
      </c>
      <c r="E40" s="45">
        <v>7.0000000000000007E-2</v>
      </c>
      <c r="F40" s="45">
        <v>0.34</v>
      </c>
    </row>
    <row r="41" spans="1:6" ht="21" x14ac:dyDescent="0.35">
      <c r="A41" s="54">
        <v>36</v>
      </c>
      <c r="B41" s="9" t="s">
        <v>107</v>
      </c>
      <c r="C41" s="45">
        <v>0.47</v>
      </c>
      <c r="D41" s="45">
        <v>7.0000000000000007E-2</v>
      </c>
      <c r="E41" s="45">
        <v>0.03</v>
      </c>
      <c r="F41" s="45">
        <v>0.43</v>
      </c>
    </row>
    <row r="42" spans="1:6" ht="21" x14ac:dyDescent="0.35">
      <c r="A42" s="54">
        <v>37</v>
      </c>
      <c r="B42" s="9" t="s">
        <v>108</v>
      </c>
      <c r="C42" s="45">
        <v>0.37</v>
      </c>
      <c r="D42" s="45">
        <v>0.12</v>
      </c>
      <c r="E42" s="45">
        <v>0.04</v>
      </c>
      <c r="F42" s="45">
        <v>0.46</v>
      </c>
    </row>
    <row r="43" spans="1:6" ht="21" x14ac:dyDescent="0.35">
      <c r="A43" s="54">
        <v>38</v>
      </c>
      <c r="B43" s="9" t="s">
        <v>109</v>
      </c>
      <c r="C43" s="45">
        <v>0.43</v>
      </c>
      <c r="D43" s="45">
        <v>0.11</v>
      </c>
      <c r="E43" s="45">
        <v>0.05</v>
      </c>
      <c r="F43" s="45">
        <v>0.41</v>
      </c>
    </row>
    <row r="44" spans="1:6" ht="18.75" x14ac:dyDescent="0.3">
      <c r="A44" s="54">
        <v>39</v>
      </c>
      <c r="B44" s="83" t="s">
        <v>157</v>
      </c>
      <c r="C44" s="45">
        <v>0.46864</v>
      </c>
      <c r="D44" s="45">
        <v>6.4531000000000005E-2</v>
      </c>
      <c r="E44" s="45">
        <v>2.726E-2</v>
      </c>
      <c r="F44" s="45">
        <v>0.43956900000000004</v>
      </c>
    </row>
    <row r="45" spans="1:6" ht="21" x14ac:dyDescent="0.35">
      <c r="A45" s="54">
        <v>40</v>
      </c>
      <c r="B45" s="9" t="s">
        <v>110</v>
      </c>
      <c r="C45" s="45">
        <v>0.42</v>
      </c>
      <c r="D45" s="45">
        <v>0.14000000000000001</v>
      </c>
      <c r="E45" s="45">
        <v>0.05</v>
      </c>
      <c r="F45" s="45">
        <v>0.4</v>
      </c>
    </row>
    <row r="46" spans="1:6" ht="42" x14ac:dyDescent="0.3">
      <c r="A46" s="54">
        <v>41</v>
      </c>
      <c r="B46" s="78" t="s">
        <v>111</v>
      </c>
      <c r="C46" s="45">
        <v>0.27</v>
      </c>
      <c r="D46" s="45">
        <v>0.35</v>
      </c>
      <c r="E46" s="45">
        <v>0.1</v>
      </c>
      <c r="F46" s="45">
        <v>0.28999999999999998</v>
      </c>
    </row>
    <row r="47" spans="1:6" ht="21" x14ac:dyDescent="0.35">
      <c r="A47" s="54">
        <v>42</v>
      </c>
      <c r="B47" s="9" t="s">
        <v>112</v>
      </c>
      <c r="C47" s="45">
        <v>0.61</v>
      </c>
      <c r="D47" s="45">
        <v>0.02</v>
      </c>
      <c r="E47" s="45">
        <v>0.01</v>
      </c>
      <c r="F47" s="45">
        <v>0.37</v>
      </c>
    </row>
    <row r="48" spans="1:6" ht="21" x14ac:dyDescent="0.3">
      <c r="A48" s="54">
        <v>43</v>
      </c>
      <c r="B48" s="78" t="s">
        <v>113</v>
      </c>
      <c r="C48" s="45">
        <v>0.25</v>
      </c>
      <c r="D48" s="45">
        <v>0.35</v>
      </c>
      <c r="E48" s="45">
        <v>0.11</v>
      </c>
      <c r="F48" s="45">
        <v>0.28999999999999998</v>
      </c>
    </row>
    <row r="49" spans="1:6" ht="21" x14ac:dyDescent="0.35">
      <c r="A49" s="54">
        <v>44</v>
      </c>
      <c r="B49" s="9" t="s">
        <v>114</v>
      </c>
      <c r="C49" s="45">
        <v>0.43</v>
      </c>
      <c r="D49" s="45">
        <v>0.16</v>
      </c>
      <c r="E49" s="45">
        <v>0.05</v>
      </c>
      <c r="F49" s="45">
        <v>0.36</v>
      </c>
    </row>
    <row r="50" spans="1:6" ht="21" x14ac:dyDescent="0.35">
      <c r="A50" s="54">
        <v>45</v>
      </c>
      <c r="B50" s="9" t="s">
        <v>115</v>
      </c>
      <c r="C50" s="45">
        <v>0.32</v>
      </c>
      <c r="D50" s="45">
        <v>0.1</v>
      </c>
      <c r="E50" s="45">
        <v>0.03</v>
      </c>
      <c r="F50" s="45">
        <v>0.56000000000000005</v>
      </c>
    </row>
    <row r="51" spans="1:6" ht="21" x14ac:dyDescent="0.3">
      <c r="A51" s="54">
        <v>46</v>
      </c>
      <c r="B51" s="82" t="s">
        <v>116</v>
      </c>
      <c r="C51" s="45">
        <v>0.21</v>
      </c>
      <c r="D51" s="45">
        <v>0.4</v>
      </c>
      <c r="E51" s="45">
        <v>0.09</v>
      </c>
      <c r="F51" s="45">
        <v>0.28999999999999998</v>
      </c>
    </row>
    <row r="52" spans="1:6" ht="21" x14ac:dyDescent="0.35">
      <c r="A52" s="54">
        <v>47</v>
      </c>
      <c r="B52" s="9" t="s">
        <v>117</v>
      </c>
      <c r="C52" s="45">
        <v>0.16</v>
      </c>
      <c r="D52" s="45">
        <v>0.04</v>
      </c>
      <c r="E52" s="45">
        <v>0.01</v>
      </c>
      <c r="F52" s="45">
        <v>0.79</v>
      </c>
    </row>
    <row r="53" spans="1:6" ht="21" x14ac:dyDescent="0.35">
      <c r="A53" s="54">
        <v>48</v>
      </c>
      <c r="B53" s="9" t="s">
        <v>118</v>
      </c>
      <c r="C53" s="45">
        <v>0.35</v>
      </c>
      <c r="D53" s="45">
        <v>0.1</v>
      </c>
      <c r="E53" s="45">
        <v>0.03</v>
      </c>
      <c r="F53" s="45">
        <v>0.52</v>
      </c>
    </row>
    <row r="54" spans="1:6" ht="21" x14ac:dyDescent="0.3">
      <c r="A54" s="54">
        <v>49</v>
      </c>
      <c r="B54" s="78" t="s">
        <v>119</v>
      </c>
      <c r="C54" s="45">
        <v>0.41</v>
      </c>
      <c r="D54" s="45">
        <v>0.11</v>
      </c>
      <c r="E54" s="45">
        <v>0.03</v>
      </c>
      <c r="F54" s="45">
        <v>0.46</v>
      </c>
    </row>
    <row r="55" spans="1:6" ht="21" x14ac:dyDescent="0.35">
      <c r="A55" s="54">
        <v>50</v>
      </c>
      <c r="B55" s="9" t="s">
        <v>120</v>
      </c>
      <c r="C55" s="45">
        <v>0.38</v>
      </c>
      <c r="D55" s="45">
        <v>0.22</v>
      </c>
      <c r="E55" s="45">
        <v>0.1</v>
      </c>
      <c r="F55" s="45">
        <v>0.3</v>
      </c>
    </row>
    <row r="56" spans="1:6" ht="18.75" x14ac:dyDescent="0.3">
      <c r="A56" s="54">
        <v>51</v>
      </c>
      <c r="B56" s="83" t="s">
        <v>120</v>
      </c>
      <c r="C56" s="45">
        <v>0.38945899999999994</v>
      </c>
      <c r="D56" s="45">
        <v>0.22214399999999998</v>
      </c>
      <c r="E56" s="45">
        <v>0.10217199999999999</v>
      </c>
      <c r="F56" s="45">
        <v>0.28622500000000001</v>
      </c>
    </row>
    <row r="57" spans="1:6" ht="21" x14ac:dyDescent="0.3">
      <c r="A57" s="54">
        <v>52</v>
      </c>
      <c r="B57" s="78" t="s">
        <v>121</v>
      </c>
      <c r="C57" s="45">
        <v>0.41</v>
      </c>
      <c r="D57" s="45">
        <v>0.12</v>
      </c>
      <c r="E57" s="45">
        <v>0.05</v>
      </c>
      <c r="F57" s="45">
        <v>0.42</v>
      </c>
    </row>
    <row r="58" spans="1:6" ht="21" x14ac:dyDescent="0.3">
      <c r="A58" s="54">
        <v>53</v>
      </c>
      <c r="B58" s="78" t="s">
        <v>122</v>
      </c>
      <c r="C58" s="45">
        <v>0.41</v>
      </c>
      <c r="D58" s="45">
        <v>0.18</v>
      </c>
      <c r="E58" s="45">
        <v>0.08</v>
      </c>
      <c r="F58" s="45">
        <v>0.33</v>
      </c>
    </row>
    <row r="59" spans="1:6" ht="21" x14ac:dyDescent="0.35">
      <c r="A59" s="54">
        <v>54</v>
      </c>
      <c r="B59" s="9" t="s">
        <v>123</v>
      </c>
      <c r="C59" s="45">
        <v>0.23</v>
      </c>
      <c r="D59" s="45">
        <v>0.41</v>
      </c>
      <c r="E59" s="45">
        <v>0.11</v>
      </c>
      <c r="F59" s="45">
        <v>0.26</v>
      </c>
    </row>
    <row r="60" spans="1:6" ht="21" x14ac:dyDescent="0.3">
      <c r="A60" s="54">
        <v>55</v>
      </c>
      <c r="B60" s="78" t="s">
        <v>124</v>
      </c>
      <c r="C60" s="45">
        <v>0.19</v>
      </c>
      <c r="D60" s="45">
        <v>0.2</v>
      </c>
      <c r="E60" s="45">
        <v>0.01</v>
      </c>
      <c r="F60" s="45">
        <v>0.6</v>
      </c>
    </row>
    <row r="61" spans="1:6" ht="21" x14ac:dyDescent="0.35">
      <c r="A61" s="54">
        <v>56</v>
      </c>
      <c r="B61" s="9" t="s">
        <v>125</v>
      </c>
      <c r="C61" s="45">
        <v>0.32</v>
      </c>
      <c r="D61" s="45">
        <v>0.31</v>
      </c>
      <c r="E61" s="45">
        <v>0.1</v>
      </c>
      <c r="F61" s="45">
        <v>0.28000000000000003</v>
      </c>
    </row>
    <row r="62" spans="1:6" ht="18.75" x14ac:dyDescent="0.3">
      <c r="A62" s="54">
        <v>57</v>
      </c>
      <c r="B62" s="83" t="s">
        <v>156</v>
      </c>
      <c r="C62" s="45">
        <v>0.31208100000000005</v>
      </c>
      <c r="D62" s="45">
        <v>0.27776100000000004</v>
      </c>
      <c r="E62" s="45">
        <v>9.6558000000000005E-2</v>
      </c>
      <c r="F62" s="45">
        <v>0.31360000000000005</v>
      </c>
    </row>
    <row r="63" spans="1:6" ht="21" x14ac:dyDescent="0.35">
      <c r="A63" s="54">
        <v>58</v>
      </c>
      <c r="B63" s="9" t="s">
        <v>126</v>
      </c>
      <c r="C63" s="45">
        <v>0.63</v>
      </c>
      <c r="D63" s="45">
        <v>0.04</v>
      </c>
      <c r="E63" s="45">
        <v>0.04</v>
      </c>
      <c r="F63" s="45">
        <v>0.28999999999999998</v>
      </c>
    </row>
    <row r="64" spans="1:6" ht="21" x14ac:dyDescent="0.35">
      <c r="A64" s="54">
        <v>59</v>
      </c>
      <c r="B64" s="9" t="s">
        <v>127</v>
      </c>
      <c r="C64" s="45">
        <v>0.37</v>
      </c>
      <c r="D64" s="45">
        <v>0.24</v>
      </c>
      <c r="E64" s="45">
        <v>7.0000000000000007E-2</v>
      </c>
      <c r="F64" s="45">
        <v>0.32</v>
      </c>
    </row>
    <row r="65" spans="1:6" ht="21" x14ac:dyDescent="0.35">
      <c r="A65" s="54">
        <v>60</v>
      </c>
      <c r="B65" s="9" t="s">
        <v>46</v>
      </c>
      <c r="C65" s="45">
        <v>0.34</v>
      </c>
      <c r="D65" s="45">
        <v>0.2</v>
      </c>
      <c r="E65" s="45">
        <v>0.06</v>
      </c>
      <c r="F65" s="45">
        <v>0.4</v>
      </c>
    </row>
    <row r="66" spans="1:6" ht="21" x14ac:dyDescent="0.35">
      <c r="A66" s="54">
        <v>61</v>
      </c>
      <c r="B66" s="9" t="s">
        <v>47</v>
      </c>
      <c r="C66" s="45">
        <v>0.18</v>
      </c>
      <c r="D66" s="45">
        <v>0.2</v>
      </c>
      <c r="E66" s="45">
        <v>0</v>
      </c>
      <c r="F66" s="45">
        <v>0.62</v>
      </c>
    </row>
    <row r="67" spans="1:6" ht="21" x14ac:dyDescent="0.35">
      <c r="A67" s="54">
        <v>62</v>
      </c>
      <c r="B67" s="9" t="s">
        <v>48</v>
      </c>
      <c r="C67" s="45">
        <v>0.54</v>
      </c>
      <c r="D67" s="45">
        <v>0.01</v>
      </c>
      <c r="E67" s="45">
        <v>0</v>
      </c>
      <c r="F67" s="45">
        <v>0.46</v>
      </c>
    </row>
    <row r="68" spans="1:6" ht="21" x14ac:dyDescent="0.35">
      <c r="A68" s="54">
        <v>63</v>
      </c>
      <c r="B68" s="9" t="s">
        <v>49</v>
      </c>
      <c r="C68" s="45">
        <v>0.01</v>
      </c>
      <c r="D68" s="45">
        <v>0.01</v>
      </c>
      <c r="E68" s="45">
        <v>0.01</v>
      </c>
      <c r="F68" s="45">
        <v>0.98</v>
      </c>
    </row>
    <row r="69" spans="1:6" ht="21" x14ac:dyDescent="0.35">
      <c r="A69" s="54">
        <v>64</v>
      </c>
      <c r="B69" s="9" t="s">
        <v>50</v>
      </c>
      <c r="C69" s="45">
        <v>0.16</v>
      </c>
      <c r="D69" s="45">
        <v>0.2</v>
      </c>
      <c r="E69" s="45">
        <v>0</v>
      </c>
      <c r="F69" s="45">
        <v>0.64</v>
      </c>
    </row>
    <row r="70" spans="1:6" ht="21" x14ac:dyDescent="0.35">
      <c r="A70" s="54">
        <v>65</v>
      </c>
      <c r="B70" s="9" t="s">
        <v>51</v>
      </c>
      <c r="C70" s="45">
        <v>0.27</v>
      </c>
      <c r="D70" s="45">
        <v>0</v>
      </c>
      <c r="E70" s="45">
        <v>0</v>
      </c>
      <c r="F70" s="45">
        <v>0.73</v>
      </c>
    </row>
    <row r="71" spans="1:6" ht="21" x14ac:dyDescent="0.35">
      <c r="A71" s="54">
        <v>66</v>
      </c>
      <c r="B71" s="9" t="s">
        <v>128</v>
      </c>
      <c r="C71" s="45">
        <v>0.09</v>
      </c>
      <c r="D71" s="45">
        <v>0.15</v>
      </c>
      <c r="E71" s="45">
        <v>0.01</v>
      </c>
      <c r="F71" s="45">
        <v>0.74</v>
      </c>
    </row>
    <row r="72" spans="1:6" ht="21" x14ac:dyDescent="0.35">
      <c r="A72" s="54">
        <v>67</v>
      </c>
      <c r="B72" s="9" t="s">
        <v>129</v>
      </c>
      <c r="C72" s="45">
        <v>0.5</v>
      </c>
      <c r="D72" s="45">
        <v>0.08</v>
      </c>
      <c r="E72" s="45">
        <v>0.04</v>
      </c>
      <c r="F72" s="45">
        <v>0.39</v>
      </c>
    </row>
    <row r="73" spans="1:6" ht="21" x14ac:dyDescent="0.3">
      <c r="A73" s="54">
        <v>68</v>
      </c>
      <c r="B73" s="78" t="s">
        <v>130</v>
      </c>
      <c r="C73" s="45">
        <v>0.27</v>
      </c>
      <c r="D73" s="45">
        <v>0.23</v>
      </c>
      <c r="E73" s="45">
        <v>0.09</v>
      </c>
      <c r="F73" s="45">
        <v>0.41</v>
      </c>
    </row>
    <row r="74" spans="1:6" ht="21" x14ac:dyDescent="0.35">
      <c r="A74" s="54">
        <v>69</v>
      </c>
      <c r="B74" s="9" t="s">
        <v>131</v>
      </c>
      <c r="C74" s="45">
        <v>0.33</v>
      </c>
      <c r="D74" s="45">
        <v>0.22</v>
      </c>
      <c r="E74" s="45">
        <v>7.0000000000000007E-2</v>
      </c>
      <c r="F74" s="45">
        <v>0.38</v>
      </c>
    </row>
    <row r="75" spans="1:6" ht="21" x14ac:dyDescent="0.35">
      <c r="A75" s="54">
        <v>70</v>
      </c>
      <c r="B75" s="9" t="s">
        <v>132</v>
      </c>
      <c r="C75" s="45">
        <v>0</v>
      </c>
      <c r="D75" s="45">
        <v>0</v>
      </c>
      <c r="E75" s="45">
        <v>0</v>
      </c>
      <c r="F75" s="45">
        <v>1</v>
      </c>
    </row>
    <row r="76" spans="1:6" ht="21" x14ac:dyDescent="0.35">
      <c r="A76" s="54">
        <v>71</v>
      </c>
      <c r="B76" s="9" t="s">
        <v>133</v>
      </c>
      <c r="C76" s="45">
        <v>0.22</v>
      </c>
      <c r="D76" s="45">
        <v>0.27</v>
      </c>
      <c r="E76" s="45">
        <v>0.06</v>
      </c>
      <c r="F76" s="45">
        <v>0.45</v>
      </c>
    </row>
    <row r="77" spans="1:6" ht="21" x14ac:dyDescent="0.35">
      <c r="A77" s="54">
        <v>72</v>
      </c>
      <c r="B77" s="9" t="s">
        <v>134</v>
      </c>
      <c r="C77" s="45">
        <v>0.39</v>
      </c>
      <c r="D77" s="45">
        <v>0.2</v>
      </c>
      <c r="E77" s="45">
        <v>0.09</v>
      </c>
      <c r="F77" s="45">
        <v>0.33</v>
      </c>
    </row>
    <row r="78" spans="1:6" ht="21" x14ac:dyDescent="0.35">
      <c r="A78" s="54">
        <v>73</v>
      </c>
      <c r="B78" s="9" t="s">
        <v>135</v>
      </c>
      <c r="C78" s="45">
        <v>0.53</v>
      </c>
      <c r="D78" s="45">
        <v>0.08</v>
      </c>
      <c r="E78" s="45">
        <v>0.04</v>
      </c>
      <c r="F78" s="45">
        <v>0.35</v>
      </c>
    </row>
    <row r="79" spans="1:6" ht="21" x14ac:dyDescent="0.35">
      <c r="A79" s="54">
        <v>74</v>
      </c>
      <c r="B79" s="9" t="s">
        <v>136</v>
      </c>
      <c r="C79" s="45">
        <v>0.43</v>
      </c>
      <c r="D79" s="45">
        <v>0.16</v>
      </c>
      <c r="E79" s="45">
        <v>0.08</v>
      </c>
      <c r="F79" s="45">
        <v>0.33</v>
      </c>
    </row>
    <row r="80" spans="1:6" ht="21" x14ac:dyDescent="0.35">
      <c r="A80" s="54">
        <v>75</v>
      </c>
      <c r="B80" s="9" t="s">
        <v>137</v>
      </c>
      <c r="C80" s="45">
        <v>0.36</v>
      </c>
      <c r="D80" s="45">
        <v>0.23</v>
      </c>
      <c r="E80" s="45">
        <v>0.08</v>
      </c>
      <c r="F80" s="45">
        <v>0.33</v>
      </c>
    </row>
    <row r="81" spans="1:6" ht="21" x14ac:dyDescent="0.35">
      <c r="A81" s="54">
        <v>76</v>
      </c>
      <c r="B81" s="9" t="s">
        <v>138</v>
      </c>
      <c r="C81" s="45">
        <v>0.26</v>
      </c>
      <c r="D81" s="45">
        <v>0.19</v>
      </c>
      <c r="E81" s="45">
        <v>0.05</v>
      </c>
      <c r="F81" s="45">
        <v>0.5</v>
      </c>
    </row>
    <row r="82" spans="1:6" ht="21" x14ac:dyDescent="0.35">
      <c r="A82" s="54">
        <v>77</v>
      </c>
      <c r="B82" s="9" t="s">
        <v>139</v>
      </c>
      <c r="C82" s="45">
        <v>0.34</v>
      </c>
      <c r="D82" s="45">
        <v>0.12</v>
      </c>
      <c r="E82" s="45">
        <v>0.03</v>
      </c>
      <c r="F82" s="45">
        <v>0.51</v>
      </c>
    </row>
    <row r="83" spans="1:6" ht="21" x14ac:dyDescent="0.35">
      <c r="A83" s="54">
        <v>78</v>
      </c>
      <c r="B83" s="9" t="s">
        <v>140</v>
      </c>
      <c r="C83" s="45">
        <v>0.42</v>
      </c>
      <c r="D83" s="45">
        <v>0.16</v>
      </c>
      <c r="E83" s="45">
        <v>0.05</v>
      </c>
      <c r="F83" s="45">
        <v>0.38</v>
      </c>
    </row>
    <row r="84" spans="1:6" ht="21" x14ac:dyDescent="0.35">
      <c r="A84" s="54">
        <v>79</v>
      </c>
      <c r="B84" s="9" t="s">
        <v>141</v>
      </c>
      <c r="C84" s="45">
        <v>0</v>
      </c>
      <c r="D84" s="45">
        <v>0</v>
      </c>
      <c r="E84" s="45">
        <v>0</v>
      </c>
      <c r="F84" s="45">
        <v>1</v>
      </c>
    </row>
    <row r="85" spans="1:6" ht="21" x14ac:dyDescent="0.35">
      <c r="A85" s="54">
        <v>80</v>
      </c>
      <c r="B85" s="9" t="s">
        <v>142</v>
      </c>
      <c r="C85" s="45">
        <v>0.37</v>
      </c>
      <c r="D85" s="45">
        <v>0.16</v>
      </c>
      <c r="E85" s="45">
        <v>0.05</v>
      </c>
      <c r="F85" s="45">
        <v>0.42</v>
      </c>
    </row>
    <row r="86" spans="1:6" ht="21" x14ac:dyDescent="0.35">
      <c r="A86" s="54">
        <v>81</v>
      </c>
      <c r="B86" s="9" t="s">
        <v>143</v>
      </c>
      <c r="C86" s="45">
        <v>0.4</v>
      </c>
      <c r="D86" s="45">
        <v>0.11</v>
      </c>
      <c r="E86" s="45">
        <v>0.04</v>
      </c>
      <c r="F86" s="45">
        <v>0.45</v>
      </c>
    </row>
    <row r="87" spans="1:6" ht="21" x14ac:dyDescent="0.35">
      <c r="A87" s="54">
        <v>82</v>
      </c>
      <c r="B87" s="9" t="s">
        <v>144</v>
      </c>
      <c r="C87" s="45">
        <v>0.47</v>
      </c>
      <c r="D87" s="45">
        <v>0.1</v>
      </c>
      <c r="E87" s="45">
        <v>0.05</v>
      </c>
      <c r="F87" s="45">
        <v>0.38</v>
      </c>
    </row>
    <row r="88" spans="1:6" ht="21" x14ac:dyDescent="0.35">
      <c r="A88" s="54">
        <v>83</v>
      </c>
      <c r="B88" s="9" t="s">
        <v>145</v>
      </c>
      <c r="C88" s="45">
        <v>0.16</v>
      </c>
      <c r="D88" s="45">
        <v>0.21</v>
      </c>
      <c r="E88" s="45">
        <v>0</v>
      </c>
      <c r="F88" s="45">
        <v>0.62</v>
      </c>
    </row>
    <row r="89" spans="1:6" ht="21" x14ac:dyDescent="0.35">
      <c r="A89" s="54">
        <v>84</v>
      </c>
      <c r="B89" s="9" t="s">
        <v>146</v>
      </c>
      <c r="C89" s="45">
        <v>0.47</v>
      </c>
      <c r="D89" s="45">
        <v>0.1</v>
      </c>
      <c r="E89" s="45">
        <v>0.05</v>
      </c>
      <c r="F89" s="45">
        <v>0.38</v>
      </c>
    </row>
    <row r="90" spans="1:6" ht="21" x14ac:dyDescent="0.35">
      <c r="A90" s="54">
        <v>85</v>
      </c>
      <c r="B90" s="9" t="s">
        <v>147</v>
      </c>
      <c r="C90" s="45">
        <v>0.5</v>
      </c>
      <c r="D90" s="45">
        <v>7.0000000000000007E-2</v>
      </c>
      <c r="E90" s="45">
        <v>0.03</v>
      </c>
      <c r="F90" s="45">
        <v>0.4</v>
      </c>
    </row>
    <row r="91" spans="1:6" ht="21" x14ac:dyDescent="0.35">
      <c r="A91" s="54">
        <v>86</v>
      </c>
      <c r="B91" s="9" t="s">
        <v>148</v>
      </c>
      <c r="C91" s="45">
        <v>0.3</v>
      </c>
      <c r="D91" s="45">
        <v>0.28999999999999998</v>
      </c>
      <c r="E91" s="45">
        <v>0.13</v>
      </c>
      <c r="F91" s="45">
        <v>0.28000000000000003</v>
      </c>
    </row>
    <row r="92" spans="1:6" ht="21" x14ac:dyDescent="0.35">
      <c r="A92" s="54">
        <v>87</v>
      </c>
      <c r="B92" s="9" t="s">
        <v>149</v>
      </c>
      <c r="C92" s="45">
        <v>0.22</v>
      </c>
      <c r="D92" s="45">
        <v>0.33</v>
      </c>
      <c r="E92" s="45">
        <v>0.08</v>
      </c>
      <c r="F92" s="45">
        <v>0.37</v>
      </c>
    </row>
    <row r="93" spans="1:6" ht="21" x14ac:dyDescent="0.35">
      <c r="A93" s="54">
        <v>88</v>
      </c>
      <c r="B93" s="9" t="s">
        <v>150</v>
      </c>
      <c r="C93" s="45">
        <v>0.34</v>
      </c>
      <c r="D93" s="45">
        <v>0.18</v>
      </c>
      <c r="E93" s="45">
        <v>0.06</v>
      </c>
      <c r="F93" s="45">
        <v>0.43</v>
      </c>
    </row>
    <row r="94" spans="1:6" ht="21" x14ac:dyDescent="0.35">
      <c r="A94" s="54">
        <v>89</v>
      </c>
      <c r="B94" s="9" t="s">
        <v>151</v>
      </c>
      <c r="C94" s="45">
        <v>0.4</v>
      </c>
      <c r="D94" s="45">
        <v>0.18</v>
      </c>
      <c r="E94" s="45">
        <v>0.06</v>
      </c>
      <c r="F94" s="45">
        <v>0.37</v>
      </c>
    </row>
    <row r="95" spans="1:6" ht="21" x14ac:dyDescent="0.35">
      <c r="A95" s="54">
        <v>90</v>
      </c>
      <c r="B95" s="9" t="s">
        <v>152</v>
      </c>
      <c r="C95" s="45">
        <v>0.27</v>
      </c>
      <c r="D95" s="45">
        <v>0.2</v>
      </c>
      <c r="E95" s="45">
        <v>0.04</v>
      </c>
      <c r="F95" s="45">
        <v>0.49</v>
      </c>
    </row>
    <row r="96" spans="1:6" ht="21" x14ac:dyDescent="0.35">
      <c r="A96" s="54">
        <v>91</v>
      </c>
      <c r="B96" s="9" t="s">
        <v>153</v>
      </c>
      <c r="C96" s="45">
        <v>0.4</v>
      </c>
      <c r="D96" s="45">
        <v>0.11</v>
      </c>
      <c r="E96" s="45">
        <v>0.04</v>
      </c>
      <c r="F96" s="45">
        <v>0.45</v>
      </c>
    </row>
    <row r="97" spans="1:6" ht="21" x14ac:dyDescent="0.35">
      <c r="A97" s="54">
        <v>92</v>
      </c>
      <c r="B97" s="9" t="s">
        <v>154</v>
      </c>
      <c r="C97" s="45">
        <v>0.22</v>
      </c>
      <c r="D97" s="45">
        <v>0.3</v>
      </c>
      <c r="E97" s="45">
        <v>0.05</v>
      </c>
      <c r="F97" s="45">
        <v>0.42</v>
      </c>
    </row>
    <row r="98" spans="1:6" ht="21" x14ac:dyDescent="0.35">
      <c r="A98" s="54">
        <v>93</v>
      </c>
      <c r="B98" s="9" t="s">
        <v>155</v>
      </c>
      <c r="C98" s="45">
        <v>0.26993865030674846</v>
      </c>
      <c r="D98" s="45">
        <v>0.16564417177914109</v>
      </c>
      <c r="E98" s="45">
        <v>2.4539877300613498E-2</v>
      </c>
      <c r="F98" s="45">
        <v>0.53987730061349692</v>
      </c>
    </row>
  </sheetData>
  <mergeCells count="6">
    <mergeCell ref="B2:P2"/>
    <mergeCell ref="C4:F4"/>
    <mergeCell ref="G4:I4"/>
    <mergeCell ref="K4:M4"/>
    <mergeCell ref="N4:Q4"/>
    <mergeCell ref="K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00E2C-1C8C-461A-9D86-A0F183470A2E}">
  <sheetPr>
    <tabColor rgb="FFFFFF00"/>
  </sheetPr>
  <dimension ref="B1:L45"/>
  <sheetViews>
    <sheetView workbookViewId="0">
      <pane ySplit="2" topLeftCell="A3" activePane="bottomLeft" state="frozen"/>
      <selection pane="bottomLeft" activeCell="L12" sqref="L12"/>
    </sheetView>
  </sheetViews>
  <sheetFormatPr defaultRowHeight="15" x14ac:dyDescent="0.25"/>
  <cols>
    <col min="1" max="1" width="2.7109375" customWidth="1"/>
    <col min="3" max="6" width="10.5703125" customWidth="1"/>
  </cols>
  <sheetData>
    <row r="1" spans="2:12" x14ac:dyDescent="0.25">
      <c r="B1" s="308" t="s">
        <v>0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</row>
    <row r="2" spans="2:12" s="3" customFormat="1" ht="21" x14ac:dyDescent="0.35">
      <c r="B2" s="309" t="s">
        <v>160</v>
      </c>
      <c r="C2" s="309"/>
      <c r="D2" s="309"/>
      <c r="E2" s="309"/>
      <c r="F2" s="309"/>
      <c r="G2" s="309"/>
    </row>
    <row r="3" spans="2:12" s="3" customFormat="1" ht="21.75" thickBot="1" x14ac:dyDescent="0.4"/>
    <row r="4" spans="2:12" s="39" customFormat="1" ht="21.75" thickBot="1" x14ac:dyDescent="0.4">
      <c r="C4" s="128" t="s">
        <v>1</v>
      </c>
      <c r="D4" s="129" t="s">
        <v>2</v>
      </c>
      <c r="E4" s="11" t="s">
        <v>23</v>
      </c>
      <c r="F4" s="13" t="s">
        <v>165</v>
      </c>
    </row>
    <row r="5" spans="2:12" s="39" customFormat="1" ht="18.75" x14ac:dyDescent="0.3">
      <c r="C5" s="34">
        <v>7.2</v>
      </c>
      <c r="D5" s="35">
        <v>8.8000000000000007</v>
      </c>
      <c r="E5" s="39">
        <f t="shared" ref="E5:E39" si="0">IF(D5&gt;0,C5 - D5," ")</f>
        <v>-1.6000000000000005</v>
      </c>
      <c r="F5" s="36">
        <f t="shared" ref="F5:F11" si="1">IF(D5&gt;0,(E5^2/D5)," ")</f>
        <v>0.29090909090909112</v>
      </c>
    </row>
    <row r="6" spans="2:12" s="39" customFormat="1" ht="18.75" x14ac:dyDescent="0.3">
      <c r="C6" s="37">
        <v>7.1</v>
      </c>
      <c r="D6" s="38">
        <v>7.5</v>
      </c>
      <c r="E6" s="39">
        <f t="shared" si="0"/>
        <v>-0.40000000000000036</v>
      </c>
      <c r="F6" s="36">
        <f t="shared" si="1"/>
        <v>2.1333333333333371E-2</v>
      </c>
    </row>
    <row r="7" spans="2:12" s="39" customFormat="1" ht="18.75" x14ac:dyDescent="0.3">
      <c r="C7" s="37">
        <v>9.1</v>
      </c>
      <c r="D7" s="38">
        <v>7.7</v>
      </c>
      <c r="E7" s="39">
        <f t="shared" si="0"/>
        <v>1.3999999999999995</v>
      </c>
      <c r="F7" s="36">
        <f t="shared" si="1"/>
        <v>0.25454545454545435</v>
      </c>
    </row>
    <row r="8" spans="2:12" s="39" customFormat="1" ht="18.75" x14ac:dyDescent="0.3">
      <c r="C8" s="37">
        <v>7.2</v>
      </c>
      <c r="D8" s="38">
        <v>7.6</v>
      </c>
      <c r="E8" s="39">
        <f t="shared" si="0"/>
        <v>-0.39999999999999947</v>
      </c>
      <c r="F8" s="36">
        <f t="shared" si="1"/>
        <v>2.1052631578947316E-2</v>
      </c>
    </row>
    <row r="9" spans="2:12" s="39" customFormat="1" ht="18.75" x14ac:dyDescent="0.3">
      <c r="C9" s="37">
        <v>7.3</v>
      </c>
      <c r="D9" s="38">
        <v>7.4</v>
      </c>
      <c r="E9" s="39">
        <f t="shared" si="0"/>
        <v>-0.10000000000000053</v>
      </c>
      <c r="F9" s="36">
        <f t="shared" si="1"/>
        <v>1.3513513513513655E-3</v>
      </c>
    </row>
    <row r="10" spans="2:12" s="39" customFormat="1" ht="18.75" x14ac:dyDescent="0.3">
      <c r="C10" s="37">
        <v>7.2</v>
      </c>
      <c r="D10" s="38">
        <v>6.7</v>
      </c>
      <c r="E10" s="39">
        <f t="shared" si="0"/>
        <v>0.5</v>
      </c>
      <c r="F10" s="36">
        <f t="shared" si="1"/>
        <v>3.7313432835820892E-2</v>
      </c>
    </row>
    <row r="11" spans="2:12" s="39" customFormat="1" ht="18.75" x14ac:dyDescent="0.3">
      <c r="C11" s="37">
        <v>7.5</v>
      </c>
      <c r="D11" s="38">
        <v>7.2</v>
      </c>
      <c r="E11" s="39">
        <f t="shared" si="0"/>
        <v>0.29999999999999982</v>
      </c>
      <c r="F11" s="36">
        <f t="shared" si="1"/>
        <v>1.2499999999999985E-2</v>
      </c>
    </row>
    <row r="12" spans="2:12" s="39" customFormat="1" ht="18.75" x14ac:dyDescent="0.3">
      <c r="C12" s="37"/>
      <c r="D12" s="38"/>
      <c r="E12" s="39" t="str">
        <f>IF(D12&gt;0,C12 - D12," ")</f>
        <v xml:space="preserve"> </v>
      </c>
      <c r="F12" s="36" t="str">
        <f>IF(D12&gt;0,(E12^2/D12)," ")</f>
        <v xml:space="preserve"> </v>
      </c>
    </row>
    <row r="13" spans="2:12" s="39" customFormat="1" ht="18.75" hidden="1" x14ac:dyDescent="0.3">
      <c r="C13" s="37"/>
      <c r="D13" s="38"/>
      <c r="E13" s="39" t="str">
        <f t="shared" si="0"/>
        <v xml:space="preserve"> </v>
      </c>
      <c r="F13" s="36" t="str">
        <f t="shared" ref="F13:F39" si="2">IF(D13&gt;0,(E13^2/D13)," ")</f>
        <v xml:space="preserve"> </v>
      </c>
    </row>
    <row r="14" spans="2:12" s="39" customFormat="1" ht="18.75" hidden="1" x14ac:dyDescent="0.3">
      <c r="C14" s="37"/>
      <c r="D14" s="38"/>
      <c r="E14" s="39" t="str">
        <f t="shared" si="0"/>
        <v xml:space="preserve"> </v>
      </c>
      <c r="F14" s="36" t="str">
        <f t="shared" si="2"/>
        <v xml:space="preserve"> </v>
      </c>
    </row>
    <row r="15" spans="2:12" s="39" customFormat="1" ht="18.75" hidden="1" x14ac:dyDescent="0.3">
      <c r="C15" s="37"/>
      <c r="D15" s="38"/>
      <c r="E15" s="39" t="str">
        <f t="shared" si="0"/>
        <v xml:space="preserve"> </v>
      </c>
      <c r="F15" s="36" t="str">
        <f t="shared" si="2"/>
        <v xml:space="preserve"> </v>
      </c>
    </row>
    <row r="16" spans="2:12" s="39" customFormat="1" ht="18.75" hidden="1" x14ac:dyDescent="0.3">
      <c r="C16" s="37"/>
      <c r="D16" s="38"/>
      <c r="E16" s="39" t="str">
        <f t="shared" si="0"/>
        <v xml:space="preserve"> </v>
      </c>
      <c r="F16" s="36" t="str">
        <f t="shared" si="2"/>
        <v xml:space="preserve"> </v>
      </c>
    </row>
    <row r="17" spans="3:6" s="39" customFormat="1" ht="18.75" hidden="1" x14ac:dyDescent="0.3">
      <c r="C17" s="37"/>
      <c r="D17" s="38"/>
      <c r="E17" s="39" t="str">
        <f t="shared" si="0"/>
        <v xml:space="preserve"> </v>
      </c>
      <c r="F17" s="36" t="str">
        <f t="shared" si="2"/>
        <v xml:space="preserve"> </v>
      </c>
    </row>
    <row r="18" spans="3:6" s="39" customFormat="1" ht="18.75" hidden="1" x14ac:dyDescent="0.3">
      <c r="C18" s="37"/>
      <c r="D18" s="38"/>
      <c r="E18" s="39" t="str">
        <f t="shared" si="0"/>
        <v xml:space="preserve"> </v>
      </c>
      <c r="F18" s="36" t="str">
        <f t="shared" si="2"/>
        <v xml:space="preserve"> </v>
      </c>
    </row>
    <row r="19" spans="3:6" s="39" customFormat="1" ht="18.75" hidden="1" x14ac:dyDescent="0.3">
      <c r="C19" s="37"/>
      <c r="D19" s="38"/>
      <c r="E19" s="39" t="str">
        <f t="shared" si="0"/>
        <v xml:space="preserve"> </v>
      </c>
      <c r="F19" s="36" t="str">
        <f t="shared" si="2"/>
        <v xml:space="preserve"> </v>
      </c>
    </row>
    <row r="20" spans="3:6" s="39" customFormat="1" ht="18.75" hidden="1" x14ac:dyDescent="0.3">
      <c r="C20" s="37"/>
      <c r="D20" s="38"/>
      <c r="E20" s="39" t="str">
        <f t="shared" si="0"/>
        <v xml:space="preserve"> </v>
      </c>
      <c r="F20" s="36" t="str">
        <f t="shared" si="2"/>
        <v xml:space="preserve"> </v>
      </c>
    </row>
    <row r="21" spans="3:6" s="39" customFormat="1" ht="18.75" hidden="1" x14ac:dyDescent="0.3">
      <c r="C21" s="37"/>
      <c r="D21" s="38"/>
      <c r="E21" s="39" t="str">
        <f t="shared" si="0"/>
        <v xml:space="preserve"> </v>
      </c>
      <c r="F21" s="36" t="str">
        <f t="shared" si="2"/>
        <v xml:space="preserve"> </v>
      </c>
    </row>
    <row r="22" spans="3:6" s="39" customFormat="1" ht="18.75" hidden="1" x14ac:dyDescent="0.3">
      <c r="C22" s="37"/>
      <c r="D22" s="38"/>
      <c r="E22" s="39" t="str">
        <f t="shared" si="0"/>
        <v xml:space="preserve"> </v>
      </c>
      <c r="F22" s="36" t="str">
        <f t="shared" si="2"/>
        <v xml:space="preserve"> </v>
      </c>
    </row>
    <row r="23" spans="3:6" s="39" customFormat="1" ht="18.75" hidden="1" x14ac:dyDescent="0.3">
      <c r="C23" s="37"/>
      <c r="D23" s="38"/>
      <c r="E23" s="39" t="str">
        <f t="shared" si="0"/>
        <v xml:space="preserve"> </v>
      </c>
      <c r="F23" s="36" t="str">
        <f t="shared" si="2"/>
        <v xml:space="preserve"> </v>
      </c>
    </row>
    <row r="24" spans="3:6" s="39" customFormat="1" ht="18.75" hidden="1" x14ac:dyDescent="0.3">
      <c r="C24" s="37"/>
      <c r="D24" s="38"/>
      <c r="E24" s="39" t="str">
        <f t="shared" si="0"/>
        <v xml:space="preserve"> </v>
      </c>
      <c r="F24" s="36" t="str">
        <f t="shared" si="2"/>
        <v xml:space="preserve"> </v>
      </c>
    </row>
    <row r="25" spans="3:6" s="39" customFormat="1" ht="18.75" hidden="1" x14ac:dyDescent="0.3">
      <c r="C25" s="37"/>
      <c r="D25" s="38"/>
      <c r="E25" s="39" t="str">
        <f t="shared" si="0"/>
        <v xml:space="preserve"> </v>
      </c>
      <c r="F25" s="36" t="str">
        <f t="shared" si="2"/>
        <v xml:space="preserve"> </v>
      </c>
    </row>
    <row r="26" spans="3:6" s="39" customFormat="1" ht="18.75" hidden="1" x14ac:dyDescent="0.3">
      <c r="C26" s="37"/>
      <c r="D26" s="38"/>
      <c r="E26" s="39" t="str">
        <f t="shared" si="0"/>
        <v xml:space="preserve"> </v>
      </c>
      <c r="F26" s="36" t="str">
        <f t="shared" si="2"/>
        <v xml:space="preserve"> </v>
      </c>
    </row>
    <row r="27" spans="3:6" s="39" customFormat="1" ht="18.75" hidden="1" x14ac:dyDescent="0.3">
      <c r="C27" s="37"/>
      <c r="D27" s="38"/>
      <c r="E27" s="39" t="str">
        <f t="shared" si="0"/>
        <v xml:space="preserve"> </v>
      </c>
      <c r="F27" s="36" t="str">
        <f t="shared" si="2"/>
        <v xml:space="preserve"> </v>
      </c>
    </row>
    <row r="28" spans="3:6" s="39" customFormat="1" ht="18.75" hidden="1" x14ac:dyDescent="0.3">
      <c r="C28" s="37"/>
      <c r="D28" s="38"/>
      <c r="E28" s="39" t="str">
        <f t="shared" si="0"/>
        <v xml:space="preserve"> </v>
      </c>
      <c r="F28" s="36" t="str">
        <f t="shared" si="2"/>
        <v xml:space="preserve"> </v>
      </c>
    </row>
    <row r="29" spans="3:6" s="39" customFormat="1" ht="18.75" hidden="1" x14ac:dyDescent="0.3">
      <c r="C29" s="37"/>
      <c r="D29" s="38"/>
      <c r="E29" s="39" t="str">
        <f t="shared" si="0"/>
        <v xml:space="preserve"> </v>
      </c>
      <c r="F29" s="36" t="str">
        <f t="shared" si="2"/>
        <v xml:space="preserve"> </v>
      </c>
    </row>
    <row r="30" spans="3:6" s="39" customFormat="1" ht="18.75" hidden="1" x14ac:dyDescent="0.3">
      <c r="C30" s="37"/>
      <c r="D30" s="38"/>
      <c r="E30" s="39" t="str">
        <f t="shared" si="0"/>
        <v xml:space="preserve"> </v>
      </c>
      <c r="F30" s="36" t="str">
        <f t="shared" si="2"/>
        <v xml:space="preserve"> </v>
      </c>
    </row>
    <row r="31" spans="3:6" s="39" customFormat="1" ht="18.75" hidden="1" x14ac:dyDescent="0.3">
      <c r="C31" s="37"/>
      <c r="D31" s="38"/>
      <c r="E31" s="39" t="str">
        <f t="shared" si="0"/>
        <v xml:space="preserve"> </v>
      </c>
      <c r="F31" s="36" t="str">
        <f t="shared" si="2"/>
        <v xml:space="preserve"> </v>
      </c>
    </row>
    <row r="32" spans="3:6" s="39" customFormat="1" ht="18.75" hidden="1" x14ac:dyDescent="0.3">
      <c r="C32" s="37"/>
      <c r="D32" s="38"/>
      <c r="E32" s="39" t="str">
        <f t="shared" si="0"/>
        <v xml:space="preserve"> </v>
      </c>
      <c r="F32" s="36" t="str">
        <f t="shared" si="2"/>
        <v xml:space="preserve"> </v>
      </c>
    </row>
    <row r="33" spans="3:6" s="39" customFormat="1" ht="18.75" hidden="1" x14ac:dyDescent="0.3">
      <c r="C33" s="37"/>
      <c r="D33" s="38"/>
      <c r="E33" s="39" t="str">
        <f t="shared" si="0"/>
        <v xml:space="preserve"> </v>
      </c>
      <c r="F33" s="36" t="str">
        <f t="shared" si="2"/>
        <v xml:space="preserve"> </v>
      </c>
    </row>
    <row r="34" spans="3:6" s="39" customFormat="1" ht="18.75" hidden="1" x14ac:dyDescent="0.3">
      <c r="C34" s="37"/>
      <c r="D34" s="38"/>
      <c r="E34" s="39" t="str">
        <f t="shared" si="0"/>
        <v xml:space="preserve"> </v>
      </c>
      <c r="F34" s="36" t="str">
        <f t="shared" si="2"/>
        <v xml:space="preserve"> </v>
      </c>
    </row>
    <row r="35" spans="3:6" s="39" customFormat="1" ht="18.75" hidden="1" x14ac:dyDescent="0.3">
      <c r="C35" s="37"/>
      <c r="D35" s="38"/>
      <c r="E35" s="39" t="str">
        <f t="shared" si="0"/>
        <v xml:space="preserve"> </v>
      </c>
      <c r="F35" s="36" t="str">
        <f t="shared" si="2"/>
        <v xml:space="preserve"> </v>
      </c>
    </row>
    <row r="36" spans="3:6" s="39" customFormat="1" ht="18.75" hidden="1" x14ac:dyDescent="0.3">
      <c r="C36" s="37"/>
      <c r="D36" s="38"/>
      <c r="E36" s="39" t="str">
        <f t="shared" si="0"/>
        <v xml:space="preserve"> </v>
      </c>
      <c r="F36" s="36" t="str">
        <f t="shared" si="2"/>
        <v xml:space="preserve"> </v>
      </c>
    </row>
    <row r="37" spans="3:6" s="39" customFormat="1" ht="18.75" hidden="1" x14ac:dyDescent="0.3">
      <c r="C37" s="37"/>
      <c r="D37" s="38"/>
      <c r="E37" s="39" t="str">
        <f t="shared" si="0"/>
        <v xml:space="preserve"> </v>
      </c>
      <c r="F37" s="36" t="str">
        <f t="shared" si="2"/>
        <v xml:space="preserve"> </v>
      </c>
    </row>
    <row r="38" spans="3:6" s="39" customFormat="1" ht="18.75" hidden="1" x14ac:dyDescent="0.3">
      <c r="C38" s="37"/>
      <c r="D38" s="38"/>
      <c r="E38" s="39" t="str">
        <f t="shared" si="0"/>
        <v xml:space="preserve"> </v>
      </c>
      <c r="F38" s="36" t="str">
        <f t="shared" si="2"/>
        <v xml:space="preserve"> </v>
      </c>
    </row>
    <row r="39" spans="3:6" s="39" customFormat="1" ht="18.75" x14ac:dyDescent="0.3">
      <c r="C39" s="37"/>
      <c r="D39" s="38"/>
      <c r="E39" s="39" t="str">
        <f t="shared" si="0"/>
        <v xml:space="preserve"> </v>
      </c>
      <c r="F39" s="36" t="str">
        <f t="shared" si="2"/>
        <v xml:space="preserve"> </v>
      </c>
    </row>
    <row r="40" spans="3:6" s="39" customFormat="1" ht="18.75" x14ac:dyDescent="0.3"/>
    <row r="41" spans="3:6" ht="18.75" x14ac:dyDescent="0.3">
      <c r="C41" s="46" t="s">
        <v>24</v>
      </c>
      <c r="D41" s="31">
        <f>COUNT(D5:D39) - 1</f>
        <v>6</v>
      </c>
      <c r="E41" s="30" t="s">
        <v>33</v>
      </c>
      <c r="F41" s="32">
        <f>SUM(F5:F39)</f>
        <v>0.63900529455399835</v>
      </c>
    </row>
    <row r="42" spans="3:6" ht="15.75" thickBot="1" x14ac:dyDescent="0.3"/>
    <row r="43" spans="3:6" ht="21.75" thickBot="1" x14ac:dyDescent="0.4">
      <c r="C43" s="17"/>
      <c r="D43" s="310" t="s">
        <v>161</v>
      </c>
      <c r="E43" s="310"/>
      <c r="F43" s="311"/>
    </row>
    <row r="44" spans="3:6" ht="21.75" thickBot="1" x14ac:dyDescent="0.3">
      <c r="C44" s="112" t="s">
        <v>24</v>
      </c>
      <c r="D44" s="270" t="s">
        <v>226</v>
      </c>
      <c r="E44" s="271" t="s">
        <v>227</v>
      </c>
      <c r="F44" s="272" t="s">
        <v>228</v>
      </c>
    </row>
    <row r="45" spans="3:6" ht="21.75" thickBot="1" x14ac:dyDescent="0.4">
      <c r="C45" s="266">
        <v>1</v>
      </c>
      <c r="D45" s="267">
        <v>3.8410000000000002</v>
      </c>
      <c r="E45" s="268">
        <v>6.6349999999999998</v>
      </c>
      <c r="F45" s="269">
        <v>78.150000000000006</v>
      </c>
    </row>
  </sheetData>
  <mergeCells count="3">
    <mergeCell ref="B1:L1"/>
    <mergeCell ref="B2:G2"/>
    <mergeCell ref="D43:F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3E659-0E06-4958-9F9F-8BD6B6197509}">
  <sheetPr>
    <tabColor rgb="FFFFFF00"/>
  </sheetPr>
  <dimension ref="B1:L44"/>
  <sheetViews>
    <sheetView workbookViewId="0">
      <pane ySplit="3" topLeftCell="A4" activePane="bottomLeft" state="frozen"/>
      <selection pane="bottomLeft" activeCell="P13" sqref="P13"/>
    </sheetView>
  </sheetViews>
  <sheetFormatPr defaultColWidth="8.85546875" defaultRowHeight="15" outlineLevelRow="1" x14ac:dyDescent="0.25"/>
  <cols>
    <col min="1" max="1" width="2.5703125" customWidth="1"/>
    <col min="2" max="2" width="10.5703125" style="134" customWidth="1"/>
    <col min="3" max="4" width="10.5703125" style="135" customWidth="1"/>
    <col min="5" max="5" width="10.5703125" style="134" customWidth="1"/>
    <col min="6" max="7" width="10.5703125" style="135" customWidth="1"/>
    <col min="8" max="8" width="10.5703125" style="134" customWidth="1"/>
    <col min="9" max="9" width="10.5703125" customWidth="1"/>
    <col min="10" max="10" width="10.5703125" style="133" customWidth="1"/>
    <col min="11" max="11" width="12.5703125" customWidth="1"/>
  </cols>
  <sheetData>
    <row r="1" spans="2:12" s="207" customFormat="1" ht="20.100000000000001" customHeight="1" x14ac:dyDescent="0.25">
      <c r="B1" s="314" t="s">
        <v>0</v>
      </c>
      <c r="C1" s="314"/>
      <c r="D1" s="314"/>
      <c r="E1" s="314"/>
      <c r="F1" s="314"/>
      <c r="G1" s="314"/>
      <c r="H1" s="314"/>
      <c r="I1" s="314"/>
      <c r="J1" s="314"/>
      <c r="K1" s="314"/>
    </row>
    <row r="2" spans="2:12" s="206" customFormat="1" ht="20.100000000000001" customHeight="1" x14ac:dyDescent="0.25">
      <c r="B2" s="316" t="s">
        <v>203</v>
      </c>
      <c r="C2" s="316"/>
      <c r="D2" s="316"/>
      <c r="E2" s="316"/>
      <c r="F2" s="316"/>
      <c r="G2" s="316"/>
      <c r="H2" s="316"/>
      <c r="I2" s="316"/>
      <c r="J2" s="316"/>
      <c r="K2" s="316"/>
    </row>
    <row r="3" spans="2:12" s="165" customFormat="1" ht="33.75" thickBot="1" x14ac:dyDescent="0.4">
      <c r="B3" s="205" t="s">
        <v>202</v>
      </c>
      <c r="C3" s="204" t="s">
        <v>201</v>
      </c>
      <c r="D3" s="203" t="s">
        <v>200</v>
      </c>
      <c r="E3" s="202" t="s">
        <v>199</v>
      </c>
      <c r="F3" s="201" t="s">
        <v>198</v>
      </c>
      <c r="G3" s="201" t="s">
        <v>197</v>
      </c>
      <c r="H3" s="200" t="s">
        <v>196</v>
      </c>
      <c r="I3" s="199" t="s">
        <v>195</v>
      </c>
      <c r="J3" s="198" t="s">
        <v>194</v>
      </c>
      <c r="K3" s="276" t="s">
        <v>193</v>
      </c>
    </row>
    <row r="4" spans="2:12" s="165" customFormat="1" ht="23.25" outlineLevel="1" x14ac:dyDescent="0.35">
      <c r="B4" s="196" t="s">
        <v>192</v>
      </c>
      <c r="C4" s="195">
        <v>0</v>
      </c>
      <c r="D4" s="197">
        <f t="shared" ref="D4:D13" si="0">C4/C$14</f>
        <v>0</v>
      </c>
      <c r="E4" s="196" t="s">
        <v>63</v>
      </c>
      <c r="F4" s="195">
        <f>2*C4 + C5 + C6 + C7</f>
        <v>0</v>
      </c>
      <c r="G4" s="194">
        <f>F4/F$14</f>
        <v>0</v>
      </c>
      <c r="H4" s="193" t="s">
        <v>192</v>
      </c>
      <c r="I4" s="192">
        <f>G4*G4</f>
        <v>0</v>
      </c>
      <c r="J4" s="274">
        <f xml:space="preserve"> ROUND(I4*$C$14,0)</f>
        <v>0</v>
      </c>
      <c r="K4" s="275">
        <f>IF(J4&gt;0,((C4-J4)^2)/J4,0)</f>
        <v>0</v>
      </c>
    </row>
    <row r="5" spans="2:12" s="165" customFormat="1" ht="23.25" outlineLevel="1" x14ac:dyDescent="0.35">
      <c r="B5" s="188" t="s">
        <v>190</v>
      </c>
      <c r="C5" s="181">
        <v>0</v>
      </c>
      <c r="D5" s="187">
        <f t="shared" si="0"/>
        <v>0</v>
      </c>
      <c r="E5" s="188" t="s">
        <v>191</v>
      </c>
      <c r="F5" s="181">
        <f>C5 + 2*C8 + C9 + C10</f>
        <v>0</v>
      </c>
      <c r="G5" s="191">
        <f>F5/F$14</f>
        <v>0</v>
      </c>
      <c r="H5" s="186" t="s">
        <v>190</v>
      </c>
      <c r="I5" s="185">
        <f>2*G4*G5</f>
        <v>0</v>
      </c>
      <c r="J5" s="274">
        <f t="shared" ref="J5:J13" si="1" xml:space="preserve"> ROUND(I5*$C$14,0)</f>
        <v>0</v>
      </c>
      <c r="K5" s="275">
        <f t="shared" ref="K5:K13" si="2">IF(J5&gt;0,((C5-J5)^2)/J5,0)</f>
        <v>0</v>
      </c>
    </row>
    <row r="6" spans="2:12" s="165" customFormat="1" ht="23.25" outlineLevel="1" x14ac:dyDescent="0.35">
      <c r="B6" s="188" t="s">
        <v>189</v>
      </c>
      <c r="C6" s="181">
        <v>0</v>
      </c>
      <c r="D6" s="187">
        <f t="shared" si="0"/>
        <v>0</v>
      </c>
      <c r="E6" s="188" t="s">
        <v>22</v>
      </c>
      <c r="F6" s="181">
        <f xml:space="preserve"> C6 + C9 + 2*C11 + C12</f>
        <v>660</v>
      </c>
      <c r="G6" s="191">
        <f>F6/F$14</f>
        <v>0.33</v>
      </c>
      <c r="H6" s="186" t="s">
        <v>189</v>
      </c>
      <c r="I6" s="185">
        <f>2*G4*G6</f>
        <v>0</v>
      </c>
      <c r="J6" s="274">
        <f t="shared" si="1"/>
        <v>0</v>
      </c>
      <c r="K6" s="275">
        <f t="shared" si="2"/>
        <v>0</v>
      </c>
    </row>
    <row r="7" spans="2:12" s="165" customFormat="1" ht="24" outlineLevel="1" thickBot="1" x14ac:dyDescent="0.4">
      <c r="B7" s="188" t="s">
        <v>187</v>
      </c>
      <c r="C7" s="181">
        <v>0</v>
      </c>
      <c r="D7" s="187">
        <f t="shared" si="0"/>
        <v>0</v>
      </c>
      <c r="E7" s="184" t="s">
        <v>188</v>
      </c>
      <c r="F7" s="190">
        <f>C7 + C10 + C12 + 2*C13</f>
        <v>1340</v>
      </c>
      <c r="G7" s="189">
        <f>F7/F$14</f>
        <v>0.67</v>
      </c>
      <c r="H7" s="186" t="s">
        <v>187</v>
      </c>
      <c r="I7" s="185">
        <f>2*G4*G7</f>
        <v>0</v>
      </c>
      <c r="J7" s="274">
        <f t="shared" si="1"/>
        <v>0</v>
      </c>
      <c r="K7" s="275">
        <f t="shared" si="2"/>
        <v>0</v>
      </c>
    </row>
    <row r="8" spans="2:12" s="165" customFormat="1" ht="23.25" outlineLevel="1" x14ac:dyDescent="0.35">
      <c r="B8" s="188" t="s">
        <v>186</v>
      </c>
      <c r="C8" s="181">
        <v>0</v>
      </c>
      <c r="D8" s="187">
        <f t="shared" si="0"/>
        <v>0</v>
      </c>
      <c r="E8" s="164"/>
      <c r="F8" s="181"/>
      <c r="G8" s="181"/>
      <c r="H8" s="186" t="s">
        <v>186</v>
      </c>
      <c r="I8" s="185">
        <f>G5*G5</f>
        <v>0</v>
      </c>
      <c r="J8" s="274">
        <f t="shared" si="1"/>
        <v>0</v>
      </c>
      <c r="K8" s="275">
        <f t="shared" si="2"/>
        <v>0</v>
      </c>
    </row>
    <row r="9" spans="2:12" s="165" customFormat="1" ht="23.25" outlineLevel="1" x14ac:dyDescent="0.35">
      <c r="B9" s="188" t="s">
        <v>185</v>
      </c>
      <c r="C9" s="181">
        <v>0</v>
      </c>
      <c r="D9" s="187">
        <f t="shared" si="0"/>
        <v>0</v>
      </c>
      <c r="E9" s="164"/>
      <c r="F9" s="181"/>
      <c r="G9" s="181"/>
      <c r="H9" s="186" t="s">
        <v>185</v>
      </c>
      <c r="I9" s="185">
        <f>2*G5*G6</f>
        <v>0</v>
      </c>
      <c r="J9" s="274">
        <f t="shared" si="1"/>
        <v>0</v>
      </c>
      <c r="K9" s="275">
        <f t="shared" si="2"/>
        <v>0</v>
      </c>
    </row>
    <row r="10" spans="2:12" s="165" customFormat="1" ht="23.25" outlineLevel="1" x14ac:dyDescent="0.35">
      <c r="B10" s="188" t="s">
        <v>17</v>
      </c>
      <c r="C10" s="181">
        <v>0</v>
      </c>
      <c r="D10" s="187">
        <f t="shared" si="0"/>
        <v>0</v>
      </c>
      <c r="E10" s="164"/>
      <c r="F10" s="181"/>
      <c r="G10" s="181"/>
      <c r="H10" s="186" t="s">
        <v>17</v>
      </c>
      <c r="I10" s="185">
        <f>2*G5*G7</f>
        <v>0</v>
      </c>
      <c r="J10" s="274">
        <f t="shared" si="1"/>
        <v>0</v>
      </c>
      <c r="K10" s="275">
        <f t="shared" si="2"/>
        <v>0</v>
      </c>
    </row>
    <row r="11" spans="2:12" s="165" customFormat="1" ht="23.25" outlineLevel="1" x14ac:dyDescent="0.35">
      <c r="B11" s="188" t="s">
        <v>184</v>
      </c>
      <c r="C11" s="154">
        <v>120</v>
      </c>
      <c r="D11" s="187">
        <f t="shared" si="0"/>
        <v>0.12</v>
      </c>
      <c r="E11" s="164"/>
      <c r="F11" s="181"/>
      <c r="G11" s="181"/>
      <c r="H11" s="186" t="s">
        <v>184</v>
      </c>
      <c r="I11" s="185">
        <f>G6*G6</f>
        <v>0.10890000000000001</v>
      </c>
      <c r="J11" s="274">
        <f t="shared" si="1"/>
        <v>109</v>
      </c>
      <c r="K11" s="275">
        <f t="shared" si="2"/>
        <v>1.1100917431192661</v>
      </c>
    </row>
    <row r="12" spans="2:12" s="165" customFormat="1" ht="23.25" outlineLevel="1" x14ac:dyDescent="0.35">
      <c r="B12" s="188" t="s">
        <v>183</v>
      </c>
      <c r="C12" s="154">
        <v>420</v>
      </c>
      <c r="D12" s="187">
        <f t="shared" si="0"/>
        <v>0.42</v>
      </c>
      <c r="E12" s="164"/>
      <c r="F12" s="181"/>
      <c r="G12" s="181"/>
      <c r="H12" s="186" t="s">
        <v>183</v>
      </c>
      <c r="I12" s="185">
        <f>2*G6*G7</f>
        <v>0.44220000000000004</v>
      </c>
      <c r="J12" s="274">
        <f t="shared" si="1"/>
        <v>442</v>
      </c>
      <c r="K12" s="275">
        <f t="shared" si="2"/>
        <v>1.0950226244343892</v>
      </c>
    </row>
    <row r="13" spans="2:12" s="165" customFormat="1" ht="24" outlineLevel="1" thickBot="1" x14ac:dyDescent="0.4">
      <c r="B13" s="184" t="s">
        <v>182</v>
      </c>
      <c r="C13" s="183">
        <v>460</v>
      </c>
      <c r="D13" s="182">
        <f t="shared" si="0"/>
        <v>0.46</v>
      </c>
      <c r="E13" s="164"/>
      <c r="F13" s="181"/>
      <c r="G13" s="181"/>
      <c r="H13" s="180" t="s">
        <v>182</v>
      </c>
      <c r="I13" s="179">
        <f>G7*G7</f>
        <v>0.44890000000000008</v>
      </c>
      <c r="J13" s="274">
        <f t="shared" si="1"/>
        <v>449</v>
      </c>
      <c r="K13" s="275">
        <f t="shared" si="2"/>
        <v>0.26948775055679286</v>
      </c>
    </row>
    <row r="14" spans="2:12" s="165" customFormat="1" ht="23.25" x14ac:dyDescent="0.35">
      <c r="B14" s="73"/>
      <c r="C14" s="177">
        <f>SUM(C4:C13)</f>
        <v>1000</v>
      </c>
      <c r="D14" s="176">
        <f>SUM(D4:D13)</f>
        <v>1</v>
      </c>
      <c r="E14" s="178"/>
      <c r="F14" s="177">
        <f>SUM(F4:F13)</f>
        <v>2000</v>
      </c>
      <c r="G14" s="176">
        <f>SUM(G4:G13)</f>
        <v>1</v>
      </c>
      <c r="H14" s="177"/>
      <c r="I14" s="176">
        <f>SUM(I4:I13)</f>
        <v>1</v>
      </c>
      <c r="J14" s="277">
        <f>SUM(J4:J13)</f>
        <v>1000</v>
      </c>
      <c r="K14" s="175"/>
      <c r="L14" s="174"/>
    </row>
    <row r="15" spans="2:12" s="165" customFormat="1" ht="23.25" x14ac:dyDescent="0.35">
      <c r="B15" s="164"/>
      <c r="C15" s="171"/>
      <c r="D15" s="173"/>
      <c r="E15" s="172"/>
      <c r="F15" s="171"/>
      <c r="G15" s="170" t="s">
        <v>24</v>
      </c>
      <c r="H15" s="170">
        <f>COUNTIF(F4:F7, "&gt; 0") - 1</f>
        <v>1</v>
      </c>
      <c r="J15" s="169"/>
      <c r="K15" s="402">
        <f>SUM(K4:K13)</f>
        <v>2.4746021181104481</v>
      </c>
    </row>
    <row r="16" spans="2:12" s="165" customFormat="1" ht="24" outlineLevel="1" thickBot="1" x14ac:dyDescent="0.4">
      <c r="B16" s="168"/>
      <c r="C16" s="167" t="s">
        <v>181</v>
      </c>
      <c r="D16" s="166">
        <f>1 - (D4 + D8 + D11 + D13)</f>
        <v>0.41999999999999993</v>
      </c>
      <c r="E16" s="164"/>
      <c r="F16" s="163"/>
      <c r="G16" s="162"/>
    </row>
    <row r="17" spans="2:12" ht="24" outlineLevel="1" thickBot="1" x14ac:dyDescent="0.4">
      <c r="B17" s="164"/>
      <c r="C17" s="163" t="s">
        <v>180</v>
      </c>
      <c r="D17" s="162">
        <f xml:space="preserve"> 1 - (G4^2 + G5^2 + G6^2 + G7^2)</f>
        <v>0.44219999999999993</v>
      </c>
      <c r="H17" s="17"/>
      <c r="I17" s="310" t="s">
        <v>161</v>
      </c>
      <c r="J17" s="310"/>
      <c r="K17" s="311"/>
    </row>
    <row r="18" spans="2:12" ht="24" thickBot="1" x14ac:dyDescent="0.4">
      <c r="B18" s="317" t="s">
        <v>179</v>
      </c>
      <c r="C18" s="317"/>
      <c r="D18" s="161">
        <f>(D16 - D17)/D17</f>
        <v>-5.0203527815468114E-2</v>
      </c>
      <c r="H18" s="112" t="s">
        <v>24</v>
      </c>
      <c r="I18" s="113" t="s">
        <v>162</v>
      </c>
      <c r="J18" s="114" t="s">
        <v>163</v>
      </c>
      <c r="K18" s="115" t="s">
        <v>164</v>
      </c>
    </row>
    <row r="19" spans="2:12" ht="21" x14ac:dyDescent="0.35">
      <c r="H19" s="116">
        <v>1</v>
      </c>
      <c r="I19" s="117">
        <v>3.8410000000000002</v>
      </c>
      <c r="J19" s="118">
        <v>6.6349999999999998</v>
      </c>
      <c r="K19" s="119">
        <v>78.150000000000006</v>
      </c>
    </row>
    <row r="20" spans="2:12" ht="21" x14ac:dyDescent="0.35">
      <c r="B20" s="54"/>
      <c r="H20" s="120">
        <v>2</v>
      </c>
      <c r="I20" s="121">
        <v>5.9909999999999997</v>
      </c>
      <c r="J20" s="122">
        <v>9.2100000000000009</v>
      </c>
      <c r="K20" s="123">
        <v>11.345000000000001</v>
      </c>
    </row>
    <row r="21" spans="2:12" ht="21.75" thickBot="1" x14ac:dyDescent="0.4">
      <c r="B21" s="315" t="s">
        <v>265</v>
      </c>
      <c r="C21" s="315"/>
      <c r="H21" s="124">
        <v>3</v>
      </c>
      <c r="I21" s="125">
        <v>7.8150000000000004</v>
      </c>
      <c r="J21" s="126">
        <v>13.816000000000001</v>
      </c>
      <c r="K21" s="127">
        <v>16.265999999999998</v>
      </c>
    </row>
    <row r="22" spans="2:12" ht="15" customHeight="1" thickBot="1" x14ac:dyDescent="0.3"/>
    <row r="23" spans="2:12" s="9" customFormat="1" ht="24.95" customHeight="1" x14ac:dyDescent="0.35">
      <c r="B23" s="318" t="s">
        <v>58</v>
      </c>
      <c r="C23" s="320" t="s">
        <v>178</v>
      </c>
      <c r="D23" s="320"/>
      <c r="E23" s="321"/>
      <c r="F23" s="407"/>
      <c r="G23" s="408" t="s">
        <v>177</v>
      </c>
      <c r="H23" s="158"/>
      <c r="I23" s="158"/>
      <c r="L23"/>
    </row>
    <row r="24" spans="2:12" s="9" customFormat="1" ht="24.95" customHeight="1" thickBot="1" x14ac:dyDescent="0.4">
      <c r="B24" s="319"/>
      <c r="C24" s="160" t="s">
        <v>176</v>
      </c>
      <c r="D24" s="160" t="s">
        <v>175</v>
      </c>
      <c r="E24" s="159" t="s">
        <v>174</v>
      </c>
      <c r="F24" s="409"/>
      <c r="G24" s="410" t="s">
        <v>173</v>
      </c>
      <c r="H24" s="158"/>
      <c r="I24" s="158"/>
      <c r="J24" s="157" t="s">
        <v>267</v>
      </c>
      <c r="L24"/>
    </row>
    <row r="25" spans="2:12" ht="21" x14ac:dyDescent="0.35">
      <c r="B25" s="54" t="s">
        <v>172</v>
      </c>
      <c r="C25" s="154">
        <v>41</v>
      </c>
      <c r="D25" s="154">
        <v>83</v>
      </c>
      <c r="E25" s="154">
        <v>76</v>
      </c>
      <c r="F25" s="403"/>
      <c r="G25" s="404"/>
      <c r="H25"/>
      <c r="I25" s="136"/>
      <c r="J25" s="136"/>
      <c r="K25" s="136"/>
    </row>
    <row r="26" spans="2:12" s="39" customFormat="1" ht="21" x14ac:dyDescent="0.35">
      <c r="B26" s="54" t="s">
        <v>171</v>
      </c>
      <c r="C26" s="155">
        <v>80</v>
      </c>
      <c r="D26" s="155">
        <v>168</v>
      </c>
      <c r="E26" s="154">
        <v>152</v>
      </c>
      <c r="F26" s="405"/>
      <c r="G26" s="404"/>
      <c r="H26" s="156"/>
      <c r="I26" s="153"/>
      <c r="J26" s="146"/>
      <c r="K26" s="149"/>
      <c r="L26"/>
    </row>
    <row r="27" spans="2:12" s="39" customFormat="1" ht="21" x14ac:dyDescent="0.35">
      <c r="B27" s="54" t="s">
        <v>170</v>
      </c>
      <c r="C27" s="154">
        <v>184</v>
      </c>
      <c r="D27" s="154">
        <v>164</v>
      </c>
      <c r="E27" s="154">
        <v>52</v>
      </c>
      <c r="F27" s="406"/>
      <c r="G27" s="404"/>
      <c r="H27" s="153"/>
      <c r="I27" s="153"/>
      <c r="J27" s="150"/>
      <c r="K27" s="9"/>
      <c r="L27"/>
    </row>
    <row r="28" spans="2:12" s="39" customFormat="1" ht="21" x14ac:dyDescent="0.35">
      <c r="B28" s="54" t="s">
        <v>169</v>
      </c>
      <c r="C28" s="155">
        <v>100</v>
      </c>
      <c r="D28" s="155">
        <v>210</v>
      </c>
      <c r="E28" s="155">
        <v>190</v>
      </c>
      <c r="F28" s="403"/>
      <c r="G28" s="404"/>
      <c r="H28" s="153"/>
      <c r="I28" s="153"/>
      <c r="J28" s="150"/>
      <c r="K28" s="9"/>
      <c r="L28"/>
    </row>
    <row r="29" spans="2:12" s="39" customFormat="1" ht="21" x14ac:dyDescent="0.35">
      <c r="B29" s="39" t="s">
        <v>168</v>
      </c>
      <c r="C29" s="154">
        <v>230</v>
      </c>
      <c r="D29" s="154">
        <v>205</v>
      </c>
      <c r="E29" s="154">
        <v>65</v>
      </c>
      <c r="F29" s="406"/>
      <c r="G29" s="404"/>
      <c r="H29" s="153"/>
      <c r="I29" s="153"/>
      <c r="J29" s="150"/>
      <c r="K29" s="9"/>
      <c r="L29"/>
    </row>
    <row r="30" spans="2:12" s="39" customFormat="1" ht="21" x14ac:dyDescent="0.35">
      <c r="B30" s="54" t="s">
        <v>167</v>
      </c>
      <c r="C30" s="154">
        <v>276</v>
      </c>
      <c r="D30" s="154">
        <v>243</v>
      </c>
      <c r="E30" s="154">
        <v>81</v>
      </c>
      <c r="F30" s="406"/>
      <c r="G30" s="404"/>
      <c r="H30" s="153"/>
      <c r="I30" s="153"/>
      <c r="J30" s="150"/>
      <c r="K30" s="9"/>
      <c r="L30"/>
    </row>
    <row r="31" spans="2:12" s="39" customFormat="1" ht="21" x14ac:dyDescent="0.35">
      <c r="B31" s="138"/>
      <c r="F31" s="142"/>
      <c r="G31" s="9"/>
      <c r="H31" s="151"/>
      <c r="I31" s="151"/>
      <c r="J31" s="151"/>
      <c r="K31" s="150"/>
      <c r="L31" s="149"/>
    </row>
    <row r="32" spans="2:12" s="39" customFormat="1" ht="21" x14ac:dyDescent="0.35">
      <c r="B32" s="148"/>
      <c r="C32" s="152"/>
      <c r="D32" s="152"/>
      <c r="E32" s="152"/>
      <c r="F32" s="139"/>
      <c r="G32" s="9"/>
      <c r="H32" s="151"/>
      <c r="I32" s="151"/>
      <c r="J32" s="151"/>
      <c r="K32" s="150"/>
      <c r="L32" s="149"/>
    </row>
    <row r="33" spans="2:12" s="39" customFormat="1" ht="21" x14ac:dyDescent="0.35">
      <c r="B33" s="148"/>
      <c r="C33" s="147"/>
      <c r="D33" s="147"/>
      <c r="E33" s="147"/>
      <c r="F33" s="146"/>
      <c r="G33" s="145"/>
      <c r="H33" s="144"/>
      <c r="I33" s="144"/>
      <c r="J33" s="144"/>
      <c r="K33" s="139"/>
      <c r="L33" s="9"/>
    </row>
    <row r="34" spans="2:12" s="39" customFormat="1" ht="21" x14ac:dyDescent="0.35">
      <c r="B34" s="54"/>
      <c r="C34" s="138"/>
      <c r="D34" s="138"/>
      <c r="E34" s="54"/>
      <c r="F34" s="138"/>
      <c r="G34" s="138"/>
      <c r="H34" s="143"/>
      <c r="I34" s="143"/>
      <c r="J34" s="143"/>
      <c r="K34" s="139"/>
      <c r="L34" s="9"/>
    </row>
    <row r="35" spans="2:12" s="39" customFormat="1" ht="21" x14ac:dyDescent="0.35">
      <c r="B35" s="54"/>
      <c r="C35" s="138"/>
      <c r="D35" s="138"/>
      <c r="E35" s="54"/>
      <c r="F35" s="138"/>
      <c r="G35" s="138"/>
      <c r="H35" s="141"/>
      <c r="I35" s="141"/>
      <c r="J35" s="143"/>
      <c r="K35" s="142"/>
      <c r="L35" s="9"/>
    </row>
    <row r="36" spans="2:12" s="39" customFormat="1" ht="21" x14ac:dyDescent="0.35">
      <c r="B36" s="54"/>
      <c r="C36" s="138"/>
      <c r="D36" s="138"/>
      <c r="E36" s="54"/>
      <c r="F36" s="138"/>
      <c r="G36" s="138"/>
      <c r="H36" s="141"/>
      <c r="I36" s="141"/>
      <c r="J36" s="141"/>
      <c r="K36" s="139"/>
      <c r="L36" s="9"/>
    </row>
    <row r="37" spans="2:12" s="39" customFormat="1" ht="21" x14ac:dyDescent="0.35">
      <c r="B37" s="54"/>
      <c r="C37" s="138"/>
      <c r="D37" s="138"/>
      <c r="E37" s="54"/>
      <c r="F37" s="138"/>
      <c r="G37" s="138"/>
      <c r="H37" s="140"/>
      <c r="I37" s="140"/>
      <c r="J37" s="140"/>
      <c r="K37" s="139"/>
      <c r="L37" s="9"/>
    </row>
    <row r="38" spans="2:12" ht="18.75" x14ac:dyDescent="0.3">
      <c r="C38" s="138"/>
      <c r="D38" s="138"/>
      <c r="E38" s="54"/>
      <c r="F38" s="138"/>
      <c r="G38" s="137"/>
      <c r="H38" s="39"/>
      <c r="I38" s="39"/>
      <c r="J38" s="39"/>
      <c r="K38" s="39"/>
    </row>
    <row r="39" spans="2:12" ht="18.75" x14ac:dyDescent="0.3">
      <c r="H39" s="39"/>
      <c r="I39" s="39"/>
      <c r="J39" s="136"/>
      <c r="K39" s="39"/>
    </row>
    <row r="40" spans="2:12" ht="18.75" x14ac:dyDescent="0.3">
      <c r="H40" s="39"/>
      <c r="I40" s="39"/>
      <c r="J40" s="136"/>
      <c r="K40" s="39"/>
    </row>
    <row r="41" spans="2:12" ht="18.75" x14ac:dyDescent="0.3">
      <c r="H41" s="39"/>
      <c r="I41" s="39"/>
      <c r="J41" s="136"/>
      <c r="K41" s="39"/>
    </row>
    <row r="42" spans="2:12" ht="18.75" x14ac:dyDescent="0.3">
      <c r="H42" s="39"/>
      <c r="I42" s="39"/>
      <c r="J42" s="136"/>
      <c r="K42" s="39"/>
    </row>
    <row r="43" spans="2:12" ht="18.75" x14ac:dyDescent="0.3">
      <c r="H43" s="39"/>
      <c r="I43" s="39"/>
      <c r="J43" s="136"/>
      <c r="K43" s="39"/>
    </row>
    <row r="44" spans="2:12" ht="18.75" x14ac:dyDescent="0.3">
      <c r="H44" s="39"/>
      <c r="I44" s="39"/>
      <c r="J44" s="136"/>
      <c r="K44" s="39"/>
    </row>
  </sheetData>
  <mergeCells count="8">
    <mergeCell ref="B1:K1"/>
    <mergeCell ref="B2:K2"/>
    <mergeCell ref="I17:K17"/>
    <mergeCell ref="B18:C18"/>
    <mergeCell ref="B23:B24"/>
    <mergeCell ref="C23:E23"/>
    <mergeCell ref="F23:F24"/>
    <mergeCell ref="B21:C2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40F94-46DF-4C67-9888-204752DE7F7E}">
  <sheetPr>
    <tabColor rgb="FFFFFF00"/>
  </sheetPr>
  <dimension ref="B1:L20"/>
  <sheetViews>
    <sheetView workbookViewId="0">
      <pane ySplit="2" topLeftCell="A3" activePane="bottomLeft" state="frozen"/>
      <selection pane="bottomLeft" activeCell="A16" sqref="A16:XFD20"/>
    </sheetView>
  </sheetViews>
  <sheetFormatPr defaultRowHeight="15" x14ac:dyDescent="0.25"/>
  <cols>
    <col min="1" max="1" width="2.7109375" customWidth="1"/>
    <col min="6" max="6" width="10.5703125" customWidth="1"/>
  </cols>
  <sheetData>
    <row r="1" spans="2:12" x14ac:dyDescent="0.25">
      <c r="B1" s="314" t="s">
        <v>0</v>
      </c>
      <c r="C1" s="314"/>
      <c r="D1" s="314"/>
      <c r="E1" s="314"/>
      <c r="F1" s="314"/>
      <c r="G1" s="314"/>
      <c r="H1" s="314"/>
      <c r="I1" s="314"/>
      <c r="J1" s="314"/>
      <c r="K1" s="314"/>
      <c r="L1" s="314"/>
    </row>
    <row r="2" spans="2:12" s="3" customFormat="1" ht="21" x14ac:dyDescent="0.35">
      <c r="B2" s="309" t="s">
        <v>160</v>
      </c>
      <c r="C2" s="309"/>
      <c r="D2" s="309"/>
      <c r="E2" s="309"/>
      <c r="F2" s="309"/>
      <c r="G2" s="309"/>
    </row>
    <row r="3" spans="2:12" s="3" customFormat="1" ht="21.75" thickBot="1" x14ac:dyDescent="0.4"/>
    <row r="4" spans="2:12" s="39" customFormat="1" ht="19.5" thickBot="1" x14ac:dyDescent="0.35">
      <c r="C4" s="5" t="s">
        <v>1</v>
      </c>
      <c r="D4" s="6" t="s">
        <v>2</v>
      </c>
      <c r="E4" s="391" t="s">
        <v>23</v>
      </c>
      <c r="F4" s="392" t="s">
        <v>71</v>
      </c>
      <c r="G4" s="393" t="s">
        <v>166</v>
      </c>
    </row>
    <row r="5" spans="2:12" s="39" customFormat="1" ht="18.75" x14ac:dyDescent="0.3">
      <c r="B5" s="75" t="s">
        <v>63</v>
      </c>
      <c r="C5" s="39">
        <v>0.44</v>
      </c>
      <c r="D5" s="39">
        <v>0.36</v>
      </c>
      <c r="E5" s="85">
        <f>C5 - D5</f>
        <v>8.0000000000000016E-2</v>
      </c>
      <c r="F5" s="131">
        <f>(E5^2/D5)</f>
        <v>1.7777777777777788E-2</v>
      </c>
      <c r="G5" s="385">
        <f>(E5^2/C5)</f>
        <v>1.4545454545454552E-2</v>
      </c>
    </row>
    <row r="6" spans="2:12" s="39" customFormat="1" ht="18.75" x14ac:dyDescent="0.3">
      <c r="B6" s="75" t="s">
        <v>64</v>
      </c>
      <c r="C6" s="39">
        <v>0.13</v>
      </c>
      <c r="D6" s="39">
        <v>0.23</v>
      </c>
      <c r="E6" s="87">
        <f t="shared" ref="E6:E8" si="0">C6 - D6</f>
        <v>-0.1</v>
      </c>
      <c r="F6" s="130">
        <f t="shared" ref="F6:F8" si="1">(E6^2/D6)</f>
        <v>4.3478260869565223E-2</v>
      </c>
      <c r="G6" s="386">
        <f t="shared" ref="G6:G8" si="2">(E6^2/C6)</f>
        <v>7.6923076923076941E-2</v>
      </c>
    </row>
    <row r="7" spans="2:12" s="39" customFormat="1" ht="18.75" x14ac:dyDescent="0.3">
      <c r="B7" s="75" t="s">
        <v>67</v>
      </c>
      <c r="C7" s="39">
        <v>0.05</v>
      </c>
      <c r="D7" s="39">
        <v>0.08</v>
      </c>
      <c r="E7" s="87">
        <f t="shared" si="0"/>
        <v>-0.03</v>
      </c>
      <c r="F7" s="130">
        <f t="shared" si="1"/>
        <v>1.125E-2</v>
      </c>
      <c r="G7" s="386">
        <f t="shared" si="2"/>
        <v>1.7999999999999999E-2</v>
      </c>
    </row>
    <row r="8" spans="2:12" s="39" customFormat="1" ht="19.5" thickBot="1" x14ac:dyDescent="0.35">
      <c r="B8" s="75" t="s">
        <v>65</v>
      </c>
      <c r="C8" s="39">
        <v>0.38</v>
      </c>
      <c r="D8" s="39">
        <v>0.34</v>
      </c>
      <c r="E8" s="88">
        <f t="shared" si="0"/>
        <v>3.999999999999998E-2</v>
      </c>
      <c r="F8" s="132">
        <f t="shared" si="1"/>
        <v>4.7058823529411709E-3</v>
      </c>
      <c r="G8" s="387">
        <f t="shared" si="2"/>
        <v>4.2105263157894693E-3</v>
      </c>
    </row>
    <row r="9" spans="2:12" s="39" customFormat="1" ht="18.75" x14ac:dyDescent="0.3">
      <c r="F9" s="45"/>
      <c r="G9" s="229"/>
    </row>
    <row r="10" spans="2:12" ht="18.75" x14ac:dyDescent="0.3">
      <c r="C10" s="46" t="s">
        <v>24</v>
      </c>
      <c r="D10" s="31">
        <f>COUNT(D5:D8) - 1</f>
        <v>3</v>
      </c>
      <c r="E10" s="72" t="s">
        <v>158</v>
      </c>
      <c r="F10" s="111">
        <f>SUM(F5:F8)</f>
        <v>7.7211921000284178E-2</v>
      </c>
      <c r="G10" s="388">
        <f>SUM(G5:G8)</f>
        <v>0.11367905778432097</v>
      </c>
    </row>
    <row r="12" spans="2:12" ht="19.5" thickBot="1" x14ac:dyDescent="0.35">
      <c r="B12" s="59" t="s">
        <v>265</v>
      </c>
      <c r="H12" s="72" t="s">
        <v>158</v>
      </c>
    </row>
    <row r="13" spans="2:12" ht="30" x14ac:dyDescent="0.3">
      <c r="B13" s="54"/>
      <c r="C13" s="379" t="s">
        <v>101</v>
      </c>
      <c r="D13" s="381">
        <v>0.44</v>
      </c>
      <c r="E13" s="381">
        <v>0.13</v>
      </c>
      <c r="F13" s="381">
        <v>0.05</v>
      </c>
      <c r="G13" s="382">
        <v>0.38</v>
      </c>
      <c r="H13" s="389"/>
    </row>
    <row r="14" spans="2:12" ht="30.75" thickBot="1" x14ac:dyDescent="0.35">
      <c r="B14" s="54"/>
      <c r="C14" s="380" t="s">
        <v>264</v>
      </c>
      <c r="D14" s="383">
        <v>0.36</v>
      </c>
      <c r="E14" s="383">
        <v>0.23</v>
      </c>
      <c r="F14" s="383">
        <v>0.08</v>
      </c>
      <c r="G14" s="384">
        <v>0.34</v>
      </c>
      <c r="H14" s="390"/>
    </row>
    <row r="15" spans="2:12" ht="15.75" thickBot="1" x14ac:dyDescent="0.3"/>
    <row r="16" spans="2:12" ht="30" x14ac:dyDescent="0.3">
      <c r="C16" s="379" t="s">
        <v>101</v>
      </c>
      <c r="D16" s="110">
        <v>44</v>
      </c>
      <c r="E16" s="110">
        <v>13</v>
      </c>
      <c r="F16" s="110">
        <v>5</v>
      </c>
      <c r="G16" s="90">
        <v>38</v>
      </c>
      <c r="H16" s="111">
        <v>7.7211921000284169</v>
      </c>
    </row>
    <row r="17" spans="3:8" ht="30.75" thickBot="1" x14ac:dyDescent="0.35">
      <c r="C17" s="380" t="s">
        <v>264</v>
      </c>
      <c r="D17" s="89">
        <v>36</v>
      </c>
      <c r="E17" s="89">
        <v>23</v>
      </c>
      <c r="F17" s="89">
        <v>8</v>
      </c>
      <c r="G17" s="109">
        <v>34</v>
      </c>
      <c r="H17" s="388">
        <v>11.367905778432094</v>
      </c>
    </row>
    <row r="18" spans="3:8" ht="19.5" thickBot="1" x14ac:dyDescent="0.35">
      <c r="H18" s="111"/>
    </row>
    <row r="19" spans="3:8" ht="30" x14ac:dyDescent="0.3">
      <c r="C19" s="379" t="s">
        <v>101</v>
      </c>
      <c r="D19" s="110">
        <v>88</v>
      </c>
      <c r="E19" s="110">
        <v>26</v>
      </c>
      <c r="F19" s="110">
        <v>10</v>
      </c>
      <c r="G19" s="90">
        <v>76</v>
      </c>
      <c r="H19" s="111">
        <v>15.442384200056834</v>
      </c>
    </row>
    <row r="20" spans="3:8" ht="30.75" thickBot="1" x14ac:dyDescent="0.35">
      <c r="C20" s="380" t="s">
        <v>264</v>
      </c>
      <c r="D20" s="89">
        <v>72</v>
      </c>
      <c r="E20" s="89">
        <v>46</v>
      </c>
      <c r="F20" s="89">
        <v>16</v>
      </c>
      <c r="G20" s="109">
        <v>68</v>
      </c>
      <c r="H20" s="388">
        <v>22.735811556864189</v>
      </c>
    </row>
  </sheetData>
  <mergeCells count="2">
    <mergeCell ref="B1:L1"/>
    <mergeCell ref="B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15844-5198-41C6-95B4-DAD92867C934}">
  <sheetPr>
    <tabColor rgb="FFFFC000"/>
  </sheetPr>
  <dimension ref="B1:W48"/>
  <sheetViews>
    <sheetView tabSelected="1" workbookViewId="0">
      <pane ySplit="2" topLeftCell="A3" activePane="bottomLeft" state="frozen"/>
      <selection pane="bottomLeft" activeCell="T58" sqref="T58"/>
    </sheetView>
  </sheetViews>
  <sheetFormatPr defaultRowHeight="15" x14ac:dyDescent="0.25"/>
  <cols>
    <col min="1" max="1" width="2.7109375" customWidth="1"/>
    <col min="2" max="3" width="12.7109375" customWidth="1"/>
    <col min="4" max="4" width="10.140625" customWidth="1"/>
    <col min="5" max="5" width="11.140625" customWidth="1"/>
    <col min="6" max="8" width="11.140625" bestFit="1" customWidth="1"/>
    <col min="9" max="9" width="8.85546875" bestFit="1" customWidth="1"/>
  </cols>
  <sheetData>
    <row r="1" spans="2:23" x14ac:dyDescent="0.25">
      <c r="B1" s="308" t="s">
        <v>0</v>
      </c>
      <c r="C1" s="308"/>
      <c r="D1" s="308"/>
      <c r="E1" s="308"/>
      <c r="F1" s="308"/>
      <c r="G1" s="308"/>
      <c r="H1" s="308"/>
      <c r="I1" s="308"/>
      <c r="J1" s="308"/>
      <c r="K1" s="44"/>
      <c r="L1" s="44"/>
      <c r="M1" s="44"/>
      <c r="W1">
        <v>200</v>
      </c>
    </row>
    <row r="2" spans="2:23" s="3" customFormat="1" ht="21" x14ac:dyDescent="0.35">
      <c r="B2" s="309" t="s">
        <v>266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</row>
    <row r="3" spans="2:23" s="3" customFormat="1" ht="21.75" thickBot="1" x14ac:dyDescent="0.4"/>
    <row r="4" spans="2:23" s="39" customFormat="1" ht="19.5" thickBot="1" x14ac:dyDescent="0.35">
      <c r="B4" s="5" t="s">
        <v>34</v>
      </c>
      <c r="C4" s="51" t="s">
        <v>35</v>
      </c>
      <c r="D4" s="398" t="s">
        <v>29</v>
      </c>
      <c r="E4" s="399" t="s">
        <v>22</v>
      </c>
      <c r="F4" s="399" t="s">
        <v>68</v>
      </c>
      <c r="G4" s="399" t="s">
        <v>69</v>
      </c>
      <c r="H4" s="400" t="s">
        <v>28</v>
      </c>
      <c r="I4" s="401" t="s">
        <v>30</v>
      </c>
    </row>
    <row r="5" spans="2:23" s="39" customFormat="1" ht="18.75" x14ac:dyDescent="0.3">
      <c r="B5" s="394">
        <v>7.2</v>
      </c>
      <c r="C5" s="395">
        <v>8.8000000000000007</v>
      </c>
      <c r="D5" s="50">
        <f>IF(C5&gt;0,B5+C5," ")</f>
        <v>16</v>
      </c>
      <c r="E5" s="45">
        <f>IF(C5&gt;0,(B5 * LN(B5/C5))," ")</f>
        <v>-1.444829007327489</v>
      </c>
      <c r="F5" s="45">
        <f>IF(D5&gt;0,B5*LN(B5)," ")</f>
        <v>14.213383387358469</v>
      </c>
      <c r="G5" s="45">
        <f>IF(D5&gt;0,C5*LN(C5)," ")</f>
        <v>19.137815149060618</v>
      </c>
      <c r="H5" s="45">
        <f>IF(D5&gt;0,D5*LN(D5)," ")</f>
        <v>44.361419555836498</v>
      </c>
      <c r="I5" s="45">
        <f>IF(D5&gt;0,1/D5," ")</f>
        <v>6.25E-2</v>
      </c>
    </row>
    <row r="6" spans="2:23" s="39" customFormat="1" ht="18.75" x14ac:dyDescent="0.3">
      <c r="B6" s="396">
        <v>7.1</v>
      </c>
      <c r="C6" s="397">
        <v>7.5</v>
      </c>
      <c r="D6" s="50">
        <f t="shared" ref="D6:D39" si="0">IF(C6&gt;0,B6+C6," ")</f>
        <v>14.6</v>
      </c>
      <c r="E6" s="45">
        <f t="shared" ref="E6:E39" si="1">IF(C6&gt;0,(B6 * LN(B6/C6))," ")</f>
        <v>-0.3891384791144647</v>
      </c>
      <c r="F6" s="45">
        <f t="shared" ref="F6:F11" si="2">IF(D6&gt;0,B6*LN(B6)," ")</f>
        <v>13.916672966735614</v>
      </c>
      <c r="G6" s="45">
        <f t="shared" ref="G6:G11" si="3">IF(D6&gt;0,C6*LN(C6)," ")</f>
        <v>15.111772654066986</v>
      </c>
      <c r="H6" s="45">
        <f t="shared" ref="H6:H11" si="4">IF(D6&gt;0,D6*LN(D6)," ")</f>
        <v>39.142914319228645</v>
      </c>
      <c r="I6" s="45">
        <f t="shared" ref="I6:I11" si="5">IF(D6&gt;0,1/D6," ")</f>
        <v>6.8493150684931503E-2</v>
      </c>
    </row>
    <row r="7" spans="2:23" s="39" customFormat="1" ht="18.75" x14ac:dyDescent="0.3">
      <c r="B7" s="396">
        <v>9.1</v>
      </c>
      <c r="C7" s="397">
        <v>7.7</v>
      </c>
      <c r="D7" s="50">
        <f t="shared" si="0"/>
        <v>16.8</v>
      </c>
      <c r="E7" s="45">
        <f t="shared" si="1"/>
        <v>1.5201921704348111</v>
      </c>
      <c r="F7" s="45">
        <f t="shared" si="2"/>
        <v>20.09529716305752</v>
      </c>
      <c r="G7" s="45">
        <f t="shared" si="3"/>
        <v>15.717396532219215</v>
      </c>
      <c r="H7" s="45">
        <f t="shared" si="4"/>
        <v>47.399165291674784</v>
      </c>
      <c r="I7" s="45">
        <f t="shared" si="5"/>
        <v>5.9523809523809521E-2</v>
      </c>
    </row>
    <row r="8" spans="2:23" s="39" customFormat="1" ht="18.75" x14ac:dyDescent="0.3">
      <c r="B8" s="396">
        <v>7.2</v>
      </c>
      <c r="C8" s="397">
        <v>7.6</v>
      </c>
      <c r="D8" s="50">
        <f t="shared" si="0"/>
        <v>14.8</v>
      </c>
      <c r="E8" s="45">
        <f t="shared" si="1"/>
        <v>-0.38928399314598505</v>
      </c>
      <c r="F8" s="45">
        <f t="shared" si="2"/>
        <v>14.213383387358469</v>
      </c>
      <c r="G8" s="45">
        <f t="shared" si="3"/>
        <v>15.413926679421367</v>
      </c>
      <c r="H8" s="45">
        <f t="shared" si="4"/>
        <v>39.880482275397029</v>
      </c>
      <c r="I8" s="45">
        <f t="shared" si="5"/>
        <v>6.7567567567567557E-2</v>
      </c>
    </row>
    <row r="9" spans="2:23" s="39" customFormat="1" ht="18.75" x14ac:dyDescent="0.3">
      <c r="B9" s="396">
        <v>7.3</v>
      </c>
      <c r="C9" s="397">
        <v>7.4</v>
      </c>
      <c r="D9" s="50">
        <f t="shared" si="0"/>
        <v>14.7</v>
      </c>
      <c r="E9" s="45">
        <f t="shared" si="1"/>
        <v>-9.9321260007184581E-2</v>
      </c>
      <c r="F9" s="45">
        <f t="shared" si="2"/>
        <v>14.511482741526722</v>
      </c>
      <c r="G9" s="45">
        <f t="shared" si="3"/>
        <v>14.81095200155492</v>
      </c>
      <c r="H9" s="45">
        <f t="shared" si="4"/>
        <v>39.511358158634948</v>
      </c>
      <c r="I9" s="45">
        <f t="shared" si="5"/>
        <v>6.8027210884353748E-2</v>
      </c>
    </row>
    <row r="10" spans="2:23" s="39" customFormat="1" ht="18.75" x14ac:dyDescent="0.3">
      <c r="B10" s="396">
        <v>7.2</v>
      </c>
      <c r="C10" s="397">
        <v>6.7</v>
      </c>
      <c r="D10" s="50">
        <f t="shared" si="0"/>
        <v>13.9</v>
      </c>
      <c r="E10" s="45">
        <f t="shared" si="1"/>
        <v>0.51820919730064252</v>
      </c>
      <c r="F10" s="45">
        <f t="shared" si="2"/>
        <v>14.213383387358469</v>
      </c>
      <c r="G10" s="45">
        <f t="shared" si="3"/>
        <v>12.744120426859368</v>
      </c>
      <c r="H10" s="45">
        <f t="shared" si="4"/>
        <v>36.583254877899378</v>
      </c>
      <c r="I10" s="45">
        <f t="shared" si="5"/>
        <v>7.1942446043165464E-2</v>
      </c>
    </row>
    <row r="11" spans="2:23" s="39" customFormat="1" ht="18.75" x14ac:dyDescent="0.3">
      <c r="B11" s="396">
        <v>7.5</v>
      </c>
      <c r="C11" s="397">
        <v>7.2</v>
      </c>
      <c r="D11" s="50">
        <f t="shared" si="0"/>
        <v>14.7</v>
      </c>
      <c r="E11" s="45">
        <f t="shared" si="1"/>
        <v>0.30616495890191397</v>
      </c>
      <c r="F11" s="45">
        <f t="shared" si="2"/>
        <v>15.111772654066986</v>
      </c>
      <c r="G11" s="45">
        <f t="shared" si="3"/>
        <v>14.213383387358469</v>
      </c>
      <c r="H11" s="45">
        <f t="shared" si="4"/>
        <v>39.511358158634948</v>
      </c>
      <c r="I11" s="45">
        <f t="shared" si="5"/>
        <v>6.8027210884353748E-2</v>
      </c>
    </row>
    <row r="12" spans="2:23" s="39" customFormat="1" ht="18.75" x14ac:dyDescent="0.3">
      <c r="B12" s="396"/>
      <c r="C12" s="397"/>
      <c r="D12" s="50" t="str">
        <f t="shared" si="0"/>
        <v xml:space="preserve"> </v>
      </c>
      <c r="E12" s="45" t="str">
        <f t="shared" si="1"/>
        <v xml:space="preserve"> </v>
      </c>
      <c r="F12" s="45" t="str">
        <f>IF(C12&gt;0,B12*LN(B12)," ")</f>
        <v xml:space="preserve"> </v>
      </c>
      <c r="G12" s="45" t="str">
        <f>IF(C12&gt;0,C12*LN(C12)," ")</f>
        <v xml:space="preserve"> </v>
      </c>
      <c r="H12" s="45" t="str">
        <f>IF(C12&gt;0,D12*LN(D12)," ")</f>
        <v xml:space="preserve"> </v>
      </c>
      <c r="I12" s="45" t="str">
        <f>IF(C12&gt;0,1/D12," ")</f>
        <v xml:space="preserve"> </v>
      </c>
    </row>
    <row r="13" spans="2:23" s="39" customFormat="1" ht="18.75" hidden="1" x14ac:dyDescent="0.3">
      <c r="B13" s="396"/>
      <c r="C13" s="397"/>
      <c r="D13" s="50" t="str">
        <f t="shared" si="0"/>
        <v xml:space="preserve"> </v>
      </c>
      <c r="E13" s="45" t="str">
        <f t="shared" si="1"/>
        <v xml:space="preserve"> </v>
      </c>
      <c r="F13" s="45" t="str">
        <f t="shared" ref="F13:F39" si="6">IF(C13&gt;0,B13*LN(B13)," ")</f>
        <v xml:space="preserve"> </v>
      </c>
      <c r="G13" s="45" t="str">
        <f t="shared" ref="G13:G39" si="7">IF(C13&gt;0,C13*LN(C13)," ")</f>
        <v xml:space="preserve"> </v>
      </c>
      <c r="H13" s="45" t="str">
        <f t="shared" ref="H13:H39" si="8">IF(C13&gt;0,D13*LN(D13)," ")</f>
        <v xml:space="preserve"> </v>
      </c>
      <c r="I13" s="45" t="str">
        <f t="shared" ref="I13:I39" si="9">IF(C13&gt;0,1/D13," ")</f>
        <v xml:space="preserve"> </v>
      </c>
    </row>
    <row r="14" spans="2:23" s="39" customFormat="1" ht="18.75" hidden="1" x14ac:dyDescent="0.3">
      <c r="B14" s="396"/>
      <c r="C14" s="397"/>
      <c r="D14" s="50" t="str">
        <f t="shared" si="0"/>
        <v xml:space="preserve"> </v>
      </c>
      <c r="E14" s="45" t="str">
        <f t="shared" si="1"/>
        <v xml:space="preserve"> </v>
      </c>
      <c r="F14" s="45" t="str">
        <f t="shared" si="6"/>
        <v xml:space="preserve"> </v>
      </c>
      <c r="G14" s="45" t="str">
        <f t="shared" si="7"/>
        <v xml:space="preserve"> </v>
      </c>
      <c r="H14" s="45" t="str">
        <f t="shared" si="8"/>
        <v xml:space="preserve"> </v>
      </c>
      <c r="I14" s="45" t="str">
        <f t="shared" si="9"/>
        <v xml:space="preserve"> </v>
      </c>
    </row>
    <row r="15" spans="2:23" s="39" customFormat="1" ht="18.75" hidden="1" x14ac:dyDescent="0.3">
      <c r="B15" s="396"/>
      <c r="C15" s="397"/>
      <c r="D15" s="50" t="str">
        <f t="shared" si="0"/>
        <v xml:space="preserve"> </v>
      </c>
      <c r="E15" s="45" t="str">
        <f t="shared" si="1"/>
        <v xml:space="preserve"> </v>
      </c>
      <c r="F15" s="45" t="str">
        <f t="shared" si="6"/>
        <v xml:space="preserve"> </v>
      </c>
      <c r="G15" s="45" t="str">
        <f t="shared" si="7"/>
        <v xml:space="preserve"> </v>
      </c>
      <c r="H15" s="45" t="str">
        <f t="shared" si="8"/>
        <v xml:space="preserve"> </v>
      </c>
      <c r="I15" s="45" t="str">
        <f t="shared" si="9"/>
        <v xml:space="preserve"> </v>
      </c>
    </row>
    <row r="16" spans="2:23" s="39" customFormat="1" ht="18.75" hidden="1" x14ac:dyDescent="0.3">
      <c r="B16" s="396"/>
      <c r="C16" s="397"/>
      <c r="D16" s="50" t="str">
        <f t="shared" si="0"/>
        <v xml:space="preserve"> </v>
      </c>
      <c r="E16" s="45" t="str">
        <f t="shared" si="1"/>
        <v xml:space="preserve"> </v>
      </c>
      <c r="F16" s="45" t="str">
        <f t="shared" si="6"/>
        <v xml:space="preserve"> </v>
      </c>
      <c r="G16" s="45" t="str">
        <f t="shared" si="7"/>
        <v xml:space="preserve"> </v>
      </c>
      <c r="H16" s="45" t="str">
        <f t="shared" si="8"/>
        <v xml:space="preserve"> </v>
      </c>
      <c r="I16" s="45" t="str">
        <f t="shared" si="9"/>
        <v xml:space="preserve"> </v>
      </c>
    </row>
    <row r="17" spans="2:9" s="39" customFormat="1" ht="18.75" hidden="1" x14ac:dyDescent="0.3">
      <c r="B17" s="396"/>
      <c r="C17" s="397"/>
      <c r="D17" s="50" t="str">
        <f t="shared" si="0"/>
        <v xml:space="preserve"> </v>
      </c>
      <c r="E17" s="45" t="str">
        <f t="shared" si="1"/>
        <v xml:space="preserve"> </v>
      </c>
      <c r="F17" s="45" t="str">
        <f t="shared" si="6"/>
        <v xml:space="preserve"> </v>
      </c>
      <c r="G17" s="45" t="str">
        <f t="shared" si="7"/>
        <v xml:space="preserve"> </v>
      </c>
      <c r="H17" s="45" t="str">
        <f t="shared" si="8"/>
        <v xml:space="preserve"> </v>
      </c>
      <c r="I17" s="45" t="str">
        <f t="shared" si="9"/>
        <v xml:space="preserve"> </v>
      </c>
    </row>
    <row r="18" spans="2:9" s="39" customFormat="1" ht="18.75" hidden="1" x14ac:dyDescent="0.3">
      <c r="B18" s="396"/>
      <c r="C18" s="397"/>
      <c r="D18" s="50" t="str">
        <f t="shared" si="0"/>
        <v xml:space="preserve"> </v>
      </c>
      <c r="E18" s="45" t="str">
        <f t="shared" si="1"/>
        <v xml:space="preserve"> </v>
      </c>
      <c r="F18" s="45" t="str">
        <f t="shared" si="6"/>
        <v xml:space="preserve"> </v>
      </c>
      <c r="G18" s="45" t="str">
        <f t="shared" si="7"/>
        <v xml:space="preserve"> </v>
      </c>
      <c r="H18" s="45" t="str">
        <f t="shared" si="8"/>
        <v xml:space="preserve"> </v>
      </c>
      <c r="I18" s="45" t="str">
        <f t="shared" si="9"/>
        <v xml:space="preserve"> </v>
      </c>
    </row>
    <row r="19" spans="2:9" s="39" customFormat="1" ht="18.75" hidden="1" x14ac:dyDescent="0.3">
      <c r="B19" s="396"/>
      <c r="C19" s="397"/>
      <c r="D19" s="50" t="str">
        <f t="shared" si="0"/>
        <v xml:space="preserve"> </v>
      </c>
      <c r="E19" s="45" t="str">
        <f t="shared" si="1"/>
        <v xml:space="preserve"> </v>
      </c>
      <c r="F19" s="45" t="str">
        <f t="shared" si="6"/>
        <v xml:space="preserve"> </v>
      </c>
      <c r="G19" s="45" t="str">
        <f t="shared" si="7"/>
        <v xml:space="preserve"> </v>
      </c>
      <c r="H19" s="45" t="str">
        <f t="shared" si="8"/>
        <v xml:space="preserve"> </v>
      </c>
      <c r="I19" s="45" t="str">
        <f t="shared" si="9"/>
        <v xml:space="preserve"> </v>
      </c>
    </row>
    <row r="20" spans="2:9" s="39" customFormat="1" ht="18.75" hidden="1" x14ac:dyDescent="0.3">
      <c r="B20" s="396"/>
      <c r="C20" s="397"/>
      <c r="D20" s="50" t="str">
        <f t="shared" si="0"/>
        <v xml:space="preserve"> </v>
      </c>
      <c r="E20" s="45" t="str">
        <f t="shared" si="1"/>
        <v xml:space="preserve"> </v>
      </c>
      <c r="F20" s="45" t="str">
        <f t="shared" si="6"/>
        <v xml:space="preserve"> </v>
      </c>
      <c r="G20" s="45" t="str">
        <f t="shared" si="7"/>
        <v xml:space="preserve"> </v>
      </c>
      <c r="H20" s="45" t="str">
        <f t="shared" si="8"/>
        <v xml:space="preserve"> </v>
      </c>
      <c r="I20" s="45" t="str">
        <f t="shared" si="9"/>
        <v xml:space="preserve"> </v>
      </c>
    </row>
    <row r="21" spans="2:9" s="39" customFormat="1" ht="18.75" hidden="1" x14ac:dyDescent="0.3">
      <c r="B21" s="396"/>
      <c r="C21" s="397"/>
      <c r="D21" s="50" t="str">
        <f t="shared" si="0"/>
        <v xml:space="preserve"> </v>
      </c>
      <c r="E21" s="45" t="str">
        <f t="shared" si="1"/>
        <v xml:space="preserve"> </v>
      </c>
      <c r="F21" s="45" t="str">
        <f t="shared" si="6"/>
        <v xml:space="preserve"> </v>
      </c>
      <c r="G21" s="45" t="str">
        <f t="shared" si="7"/>
        <v xml:space="preserve"> </v>
      </c>
      <c r="H21" s="45" t="str">
        <f t="shared" si="8"/>
        <v xml:space="preserve"> </v>
      </c>
      <c r="I21" s="45" t="str">
        <f t="shared" si="9"/>
        <v xml:space="preserve"> </v>
      </c>
    </row>
    <row r="22" spans="2:9" s="39" customFormat="1" ht="18.75" hidden="1" x14ac:dyDescent="0.3">
      <c r="B22" s="396"/>
      <c r="C22" s="397"/>
      <c r="D22" s="50" t="str">
        <f t="shared" si="0"/>
        <v xml:space="preserve"> </v>
      </c>
      <c r="E22" s="45" t="str">
        <f t="shared" si="1"/>
        <v xml:space="preserve"> </v>
      </c>
      <c r="F22" s="45" t="str">
        <f t="shared" si="6"/>
        <v xml:space="preserve"> </v>
      </c>
      <c r="G22" s="45" t="str">
        <f t="shared" si="7"/>
        <v xml:space="preserve"> </v>
      </c>
      <c r="H22" s="45" t="str">
        <f t="shared" si="8"/>
        <v xml:space="preserve"> </v>
      </c>
      <c r="I22" s="45" t="str">
        <f t="shared" si="9"/>
        <v xml:space="preserve"> </v>
      </c>
    </row>
    <row r="23" spans="2:9" s="39" customFormat="1" ht="18.75" hidden="1" x14ac:dyDescent="0.3">
      <c r="B23" s="396"/>
      <c r="C23" s="397"/>
      <c r="D23" s="50" t="str">
        <f t="shared" si="0"/>
        <v xml:space="preserve"> </v>
      </c>
      <c r="E23" s="45" t="str">
        <f t="shared" si="1"/>
        <v xml:space="preserve"> </v>
      </c>
      <c r="F23" s="45" t="str">
        <f t="shared" si="6"/>
        <v xml:space="preserve"> </v>
      </c>
      <c r="G23" s="45" t="str">
        <f t="shared" si="7"/>
        <v xml:space="preserve"> </v>
      </c>
      <c r="H23" s="45" t="str">
        <f t="shared" si="8"/>
        <v xml:space="preserve"> </v>
      </c>
      <c r="I23" s="45" t="str">
        <f t="shared" si="9"/>
        <v xml:space="preserve"> </v>
      </c>
    </row>
    <row r="24" spans="2:9" s="39" customFormat="1" ht="18.75" hidden="1" x14ac:dyDescent="0.3">
      <c r="B24" s="396"/>
      <c r="C24" s="397"/>
      <c r="D24" s="50" t="str">
        <f t="shared" si="0"/>
        <v xml:space="preserve"> </v>
      </c>
      <c r="E24" s="45" t="str">
        <f t="shared" si="1"/>
        <v xml:space="preserve"> </v>
      </c>
      <c r="F24" s="45" t="str">
        <f t="shared" si="6"/>
        <v xml:space="preserve"> </v>
      </c>
      <c r="G24" s="45" t="str">
        <f t="shared" si="7"/>
        <v xml:space="preserve"> </v>
      </c>
      <c r="H24" s="45" t="str">
        <f t="shared" si="8"/>
        <v xml:space="preserve"> </v>
      </c>
      <c r="I24" s="45" t="str">
        <f t="shared" si="9"/>
        <v xml:space="preserve"> </v>
      </c>
    </row>
    <row r="25" spans="2:9" s="39" customFormat="1" ht="18.75" hidden="1" x14ac:dyDescent="0.3">
      <c r="B25" s="396"/>
      <c r="C25" s="397"/>
      <c r="D25" s="50" t="str">
        <f t="shared" si="0"/>
        <v xml:space="preserve"> </v>
      </c>
      <c r="E25" s="45" t="str">
        <f t="shared" si="1"/>
        <v xml:space="preserve"> </v>
      </c>
      <c r="F25" s="45" t="str">
        <f t="shared" si="6"/>
        <v xml:space="preserve"> </v>
      </c>
      <c r="G25" s="45" t="str">
        <f t="shared" si="7"/>
        <v xml:space="preserve"> </v>
      </c>
      <c r="H25" s="45" t="str">
        <f t="shared" si="8"/>
        <v xml:space="preserve"> </v>
      </c>
      <c r="I25" s="45" t="str">
        <f t="shared" si="9"/>
        <v xml:space="preserve"> </v>
      </c>
    </row>
    <row r="26" spans="2:9" s="39" customFormat="1" ht="18.75" hidden="1" x14ac:dyDescent="0.3">
      <c r="B26" s="396"/>
      <c r="C26" s="397"/>
      <c r="D26" s="50" t="str">
        <f t="shared" si="0"/>
        <v xml:space="preserve"> </v>
      </c>
      <c r="E26" s="45" t="str">
        <f t="shared" si="1"/>
        <v xml:space="preserve"> </v>
      </c>
      <c r="F26" s="45" t="str">
        <f t="shared" si="6"/>
        <v xml:space="preserve"> </v>
      </c>
      <c r="G26" s="45" t="str">
        <f t="shared" si="7"/>
        <v xml:space="preserve"> </v>
      </c>
      <c r="H26" s="45" t="str">
        <f t="shared" si="8"/>
        <v xml:space="preserve"> </v>
      </c>
      <c r="I26" s="45" t="str">
        <f t="shared" si="9"/>
        <v xml:space="preserve"> </v>
      </c>
    </row>
    <row r="27" spans="2:9" s="39" customFormat="1" ht="18.75" hidden="1" x14ac:dyDescent="0.3">
      <c r="B27" s="396"/>
      <c r="C27" s="397"/>
      <c r="D27" s="50" t="str">
        <f t="shared" si="0"/>
        <v xml:space="preserve"> </v>
      </c>
      <c r="E27" s="45" t="str">
        <f t="shared" si="1"/>
        <v xml:space="preserve"> </v>
      </c>
      <c r="F27" s="45" t="str">
        <f t="shared" si="6"/>
        <v xml:space="preserve"> </v>
      </c>
      <c r="G27" s="45" t="str">
        <f t="shared" si="7"/>
        <v xml:space="preserve"> </v>
      </c>
      <c r="H27" s="45" t="str">
        <f t="shared" si="8"/>
        <v xml:space="preserve"> </v>
      </c>
      <c r="I27" s="45" t="str">
        <f t="shared" si="9"/>
        <v xml:space="preserve"> </v>
      </c>
    </row>
    <row r="28" spans="2:9" s="39" customFormat="1" ht="18.75" hidden="1" x14ac:dyDescent="0.3">
      <c r="B28" s="396"/>
      <c r="C28" s="397"/>
      <c r="D28" s="50" t="str">
        <f t="shared" si="0"/>
        <v xml:space="preserve"> </v>
      </c>
      <c r="E28" s="45" t="str">
        <f t="shared" si="1"/>
        <v xml:space="preserve"> </v>
      </c>
      <c r="F28" s="45" t="str">
        <f t="shared" si="6"/>
        <v xml:space="preserve"> </v>
      </c>
      <c r="G28" s="45" t="str">
        <f t="shared" si="7"/>
        <v xml:space="preserve"> </v>
      </c>
      <c r="H28" s="45" t="str">
        <f t="shared" si="8"/>
        <v xml:space="preserve"> </v>
      </c>
      <c r="I28" s="45" t="str">
        <f t="shared" si="9"/>
        <v xml:space="preserve"> </v>
      </c>
    </row>
    <row r="29" spans="2:9" s="39" customFormat="1" ht="18.75" hidden="1" x14ac:dyDescent="0.3">
      <c r="B29" s="396"/>
      <c r="C29" s="397"/>
      <c r="D29" s="50" t="str">
        <f t="shared" si="0"/>
        <v xml:space="preserve"> </v>
      </c>
      <c r="E29" s="45" t="str">
        <f t="shared" si="1"/>
        <v xml:space="preserve"> </v>
      </c>
      <c r="F29" s="45" t="str">
        <f t="shared" si="6"/>
        <v xml:space="preserve"> </v>
      </c>
      <c r="G29" s="45" t="str">
        <f t="shared" si="7"/>
        <v xml:space="preserve"> </v>
      </c>
      <c r="H29" s="45" t="str">
        <f t="shared" si="8"/>
        <v xml:space="preserve"> </v>
      </c>
      <c r="I29" s="45" t="str">
        <f t="shared" si="9"/>
        <v xml:space="preserve"> </v>
      </c>
    </row>
    <row r="30" spans="2:9" s="39" customFormat="1" ht="18.75" hidden="1" x14ac:dyDescent="0.3">
      <c r="B30" s="396"/>
      <c r="C30" s="397"/>
      <c r="D30" s="50" t="str">
        <f t="shared" si="0"/>
        <v xml:space="preserve"> </v>
      </c>
      <c r="E30" s="45" t="str">
        <f t="shared" si="1"/>
        <v xml:space="preserve"> </v>
      </c>
      <c r="F30" s="45" t="str">
        <f t="shared" si="6"/>
        <v xml:space="preserve"> </v>
      </c>
      <c r="G30" s="45" t="str">
        <f t="shared" si="7"/>
        <v xml:space="preserve"> </v>
      </c>
      <c r="H30" s="45" t="str">
        <f t="shared" si="8"/>
        <v xml:space="preserve"> </v>
      </c>
      <c r="I30" s="45" t="str">
        <f t="shared" si="9"/>
        <v xml:space="preserve"> </v>
      </c>
    </row>
    <row r="31" spans="2:9" s="39" customFormat="1" ht="18.75" hidden="1" x14ac:dyDescent="0.3">
      <c r="B31" s="396"/>
      <c r="C31" s="397"/>
      <c r="D31" s="50" t="str">
        <f t="shared" si="0"/>
        <v xml:space="preserve"> </v>
      </c>
      <c r="E31" s="45" t="str">
        <f t="shared" si="1"/>
        <v xml:space="preserve"> </v>
      </c>
      <c r="F31" s="45" t="str">
        <f t="shared" si="6"/>
        <v xml:space="preserve"> </v>
      </c>
      <c r="G31" s="45" t="str">
        <f t="shared" si="7"/>
        <v xml:space="preserve"> </v>
      </c>
      <c r="H31" s="45" t="str">
        <f t="shared" si="8"/>
        <v xml:space="preserve"> </v>
      </c>
      <c r="I31" s="45" t="str">
        <f t="shared" si="9"/>
        <v xml:space="preserve"> </v>
      </c>
    </row>
    <row r="32" spans="2:9" s="39" customFormat="1" ht="18.75" hidden="1" x14ac:dyDescent="0.3">
      <c r="B32" s="396"/>
      <c r="C32" s="397"/>
      <c r="D32" s="50" t="str">
        <f t="shared" si="0"/>
        <v xml:space="preserve"> </v>
      </c>
      <c r="E32" s="45" t="str">
        <f t="shared" si="1"/>
        <v xml:space="preserve"> </v>
      </c>
      <c r="F32" s="45" t="str">
        <f t="shared" si="6"/>
        <v xml:space="preserve"> </v>
      </c>
      <c r="G32" s="45" t="str">
        <f t="shared" si="7"/>
        <v xml:space="preserve"> </v>
      </c>
      <c r="H32" s="45" t="str">
        <f t="shared" si="8"/>
        <v xml:space="preserve"> </v>
      </c>
      <c r="I32" s="45" t="str">
        <f t="shared" si="9"/>
        <v xml:space="preserve"> </v>
      </c>
    </row>
    <row r="33" spans="2:11" s="39" customFormat="1" ht="18.75" hidden="1" x14ac:dyDescent="0.3">
      <c r="B33" s="396"/>
      <c r="C33" s="397"/>
      <c r="D33" s="50" t="str">
        <f t="shared" si="0"/>
        <v xml:space="preserve"> </v>
      </c>
      <c r="E33" s="45" t="str">
        <f t="shared" si="1"/>
        <v xml:space="preserve"> </v>
      </c>
      <c r="F33" s="45" t="str">
        <f t="shared" si="6"/>
        <v xml:space="preserve"> </v>
      </c>
      <c r="G33" s="45" t="str">
        <f t="shared" si="7"/>
        <v xml:space="preserve"> </v>
      </c>
      <c r="H33" s="45" t="str">
        <f t="shared" si="8"/>
        <v xml:space="preserve"> </v>
      </c>
      <c r="I33" s="45" t="str">
        <f t="shared" si="9"/>
        <v xml:space="preserve"> </v>
      </c>
    </row>
    <row r="34" spans="2:11" s="39" customFormat="1" ht="18.75" hidden="1" x14ac:dyDescent="0.3">
      <c r="B34" s="396"/>
      <c r="C34" s="397"/>
      <c r="D34" s="50" t="str">
        <f t="shared" si="0"/>
        <v xml:space="preserve"> </v>
      </c>
      <c r="E34" s="45" t="str">
        <f t="shared" si="1"/>
        <v xml:space="preserve"> </v>
      </c>
      <c r="F34" s="45" t="str">
        <f t="shared" si="6"/>
        <v xml:space="preserve"> </v>
      </c>
      <c r="G34" s="45" t="str">
        <f t="shared" si="7"/>
        <v xml:space="preserve"> </v>
      </c>
      <c r="H34" s="45" t="str">
        <f t="shared" si="8"/>
        <v xml:space="preserve"> </v>
      </c>
      <c r="I34" s="45" t="str">
        <f t="shared" si="9"/>
        <v xml:space="preserve"> </v>
      </c>
    </row>
    <row r="35" spans="2:11" s="39" customFormat="1" ht="18.75" hidden="1" x14ac:dyDescent="0.3">
      <c r="B35" s="396"/>
      <c r="C35" s="397"/>
      <c r="D35" s="50" t="str">
        <f t="shared" si="0"/>
        <v xml:space="preserve"> </v>
      </c>
      <c r="E35" s="45" t="str">
        <f t="shared" si="1"/>
        <v xml:space="preserve"> </v>
      </c>
      <c r="F35" s="45" t="str">
        <f t="shared" si="6"/>
        <v xml:space="preserve"> </v>
      </c>
      <c r="G35" s="45" t="str">
        <f t="shared" si="7"/>
        <v xml:space="preserve"> </v>
      </c>
      <c r="H35" s="45" t="str">
        <f t="shared" si="8"/>
        <v xml:space="preserve"> </v>
      </c>
      <c r="I35" s="45" t="str">
        <f t="shared" si="9"/>
        <v xml:space="preserve"> </v>
      </c>
    </row>
    <row r="36" spans="2:11" s="39" customFormat="1" ht="18.75" hidden="1" x14ac:dyDescent="0.3">
      <c r="B36" s="396"/>
      <c r="C36" s="397"/>
      <c r="D36" s="50" t="str">
        <f t="shared" si="0"/>
        <v xml:space="preserve"> </v>
      </c>
      <c r="E36" s="45" t="str">
        <f t="shared" si="1"/>
        <v xml:space="preserve"> </v>
      </c>
      <c r="F36" s="45" t="str">
        <f t="shared" si="6"/>
        <v xml:space="preserve"> </v>
      </c>
      <c r="G36" s="45" t="str">
        <f t="shared" si="7"/>
        <v xml:space="preserve"> </v>
      </c>
      <c r="H36" s="45" t="str">
        <f t="shared" si="8"/>
        <v xml:space="preserve"> </v>
      </c>
      <c r="I36" s="45" t="str">
        <f t="shared" si="9"/>
        <v xml:space="preserve"> </v>
      </c>
    </row>
    <row r="37" spans="2:11" s="39" customFormat="1" ht="18.75" hidden="1" x14ac:dyDescent="0.3">
      <c r="B37" s="396"/>
      <c r="C37" s="397"/>
      <c r="D37" s="50" t="str">
        <f t="shared" si="0"/>
        <v xml:space="preserve"> </v>
      </c>
      <c r="E37" s="45" t="str">
        <f t="shared" si="1"/>
        <v xml:space="preserve"> </v>
      </c>
      <c r="F37" s="45" t="str">
        <f t="shared" si="6"/>
        <v xml:space="preserve"> </v>
      </c>
      <c r="G37" s="45" t="str">
        <f t="shared" si="7"/>
        <v xml:space="preserve"> </v>
      </c>
      <c r="H37" s="45" t="str">
        <f t="shared" si="8"/>
        <v xml:space="preserve"> </v>
      </c>
      <c r="I37" s="45" t="str">
        <f t="shared" si="9"/>
        <v xml:space="preserve"> </v>
      </c>
    </row>
    <row r="38" spans="2:11" s="39" customFormat="1" ht="18.75" hidden="1" x14ac:dyDescent="0.3">
      <c r="B38" s="396"/>
      <c r="C38" s="397"/>
      <c r="D38" s="50" t="str">
        <f t="shared" si="0"/>
        <v xml:space="preserve"> </v>
      </c>
      <c r="E38" s="45" t="str">
        <f t="shared" si="1"/>
        <v xml:space="preserve"> </v>
      </c>
      <c r="F38" s="45" t="str">
        <f t="shared" si="6"/>
        <v xml:space="preserve"> </v>
      </c>
      <c r="G38" s="45" t="str">
        <f t="shared" si="7"/>
        <v xml:space="preserve"> </v>
      </c>
      <c r="H38" s="45" t="str">
        <f t="shared" si="8"/>
        <v xml:space="preserve"> </v>
      </c>
      <c r="I38" s="45" t="str">
        <f t="shared" si="9"/>
        <v xml:space="preserve"> </v>
      </c>
    </row>
    <row r="39" spans="2:11" s="39" customFormat="1" ht="18.75" x14ac:dyDescent="0.3">
      <c r="B39" s="396"/>
      <c r="C39" s="397"/>
      <c r="D39" s="50" t="str">
        <f t="shared" si="0"/>
        <v xml:space="preserve"> </v>
      </c>
      <c r="E39" s="45" t="str">
        <f t="shared" si="1"/>
        <v xml:space="preserve"> </v>
      </c>
      <c r="F39" s="45" t="str">
        <f t="shared" si="6"/>
        <v xml:space="preserve"> </v>
      </c>
      <c r="G39" s="45" t="str">
        <f t="shared" si="7"/>
        <v xml:space="preserve"> </v>
      </c>
      <c r="H39" s="45" t="str">
        <f t="shared" si="8"/>
        <v xml:space="preserve"> </v>
      </c>
      <c r="I39" s="45" t="str">
        <f t="shared" si="9"/>
        <v xml:space="preserve"> </v>
      </c>
    </row>
    <row r="40" spans="2:11" s="39" customFormat="1" ht="18.75" x14ac:dyDescent="0.3">
      <c r="B40" s="31">
        <f>SUM(B5:B39)</f>
        <v>52.6</v>
      </c>
      <c r="C40" s="31">
        <f t="shared" ref="C40:D40" si="10">SUM(C5:C39)</f>
        <v>52.900000000000006</v>
      </c>
      <c r="D40" s="31">
        <f t="shared" si="10"/>
        <v>105.50000000000001</v>
      </c>
      <c r="E40" s="30"/>
      <c r="F40" s="32"/>
    </row>
    <row r="41" spans="2:11" ht="15.75" thickBot="1" x14ac:dyDescent="0.3"/>
    <row r="42" spans="2:11" ht="19.5" thickBot="1" x14ac:dyDescent="0.35">
      <c r="B42" s="31">
        <v>1</v>
      </c>
      <c r="C42" s="41">
        <f xml:space="preserve"> SUM(F5:G39)</f>
        <v>213.42474251800317</v>
      </c>
      <c r="D42" s="43" t="s">
        <v>213</v>
      </c>
      <c r="E42" s="39"/>
      <c r="F42" s="39"/>
      <c r="G42" s="39"/>
      <c r="H42" s="232"/>
      <c r="I42" s="283" t="s">
        <v>218</v>
      </c>
      <c r="J42" s="283" t="s">
        <v>219</v>
      </c>
      <c r="K42" s="284" t="s">
        <v>220</v>
      </c>
    </row>
    <row r="43" spans="2:11" ht="19.5" thickBot="1" x14ac:dyDescent="0.35">
      <c r="B43" s="31">
        <v>2</v>
      </c>
      <c r="C43" s="41">
        <f>SUM(H5:H39)</f>
        <v>286.38995263730624</v>
      </c>
      <c r="D43" s="43" t="s">
        <v>214</v>
      </c>
      <c r="E43" s="39"/>
      <c r="F43" s="39"/>
      <c r="G43" s="39"/>
      <c r="H43" s="233" t="s">
        <v>221</v>
      </c>
      <c r="I43" s="234">
        <v>6.2510000000000003</v>
      </c>
      <c r="J43" s="235">
        <v>11.345000000000001</v>
      </c>
      <c r="K43" s="236">
        <v>16.265999999999998</v>
      </c>
    </row>
    <row r="44" spans="2:11" ht="18.75" x14ac:dyDescent="0.3">
      <c r="B44" s="31">
        <v>3</v>
      </c>
      <c r="C44" s="41">
        <f>(B40*LN(B40)+C40*LN(C40))</f>
        <v>418.36740452443581</v>
      </c>
      <c r="D44" s="43" t="s">
        <v>215</v>
      </c>
      <c r="E44" s="39"/>
      <c r="F44" s="39"/>
      <c r="G44" s="39"/>
      <c r="H44" s="39"/>
      <c r="I44" s="39"/>
    </row>
    <row r="45" spans="2:11" ht="18.75" x14ac:dyDescent="0.3">
      <c r="B45" s="31">
        <v>4</v>
      </c>
      <c r="C45" s="41">
        <f>D40*LN(D40)</f>
        <v>491.49400553265087</v>
      </c>
      <c r="D45" s="43" t="s">
        <v>214</v>
      </c>
      <c r="E45" s="39"/>
      <c r="F45" s="39"/>
      <c r="G45" s="39"/>
      <c r="H45" s="39"/>
      <c r="I45" s="39"/>
    </row>
    <row r="46" spans="2:11" ht="18.75" x14ac:dyDescent="0.3">
      <c r="B46" s="31">
        <v>5</v>
      </c>
      <c r="C46" s="335">
        <f>2*(C42 - C43 - C44 +C45)</f>
        <v>0.32278177782393414</v>
      </c>
      <c r="D46" s="336" t="s">
        <v>242</v>
      </c>
      <c r="E46" s="43" t="s">
        <v>32</v>
      </c>
      <c r="F46" s="39"/>
      <c r="G46" s="39"/>
      <c r="H46" s="39"/>
      <c r="I46" s="39"/>
    </row>
    <row r="47" spans="2:11" ht="18.75" x14ac:dyDescent="0.3">
      <c r="B47" s="31">
        <v>6</v>
      </c>
      <c r="C47" s="39">
        <f>1 + (E47*F47/G47)</f>
        <v>1.0414347558564283</v>
      </c>
      <c r="D47" s="43" t="s">
        <v>27</v>
      </c>
      <c r="E47" s="41">
        <f>D40*(I5 + I6 + I7 +I8) - 1</f>
        <v>26.227917680400559</v>
      </c>
      <c r="F47" s="41">
        <f>D40*(1/B40 + 1/C40) - 1</f>
        <v>3.0000323445485062</v>
      </c>
      <c r="G47" s="39">
        <f xml:space="preserve"> 6* D40 *1 * 3</f>
        <v>1899.0000000000005</v>
      </c>
      <c r="H47" s="39"/>
      <c r="I47" s="39"/>
    </row>
    <row r="48" spans="2:11" ht="18.75" x14ac:dyDescent="0.3">
      <c r="B48" s="29"/>
      <c r="C48" s="337" t="s">
        <v>31</v>
      </c>
      <c r="D48" s="337"/>
      <c r="E48" s="48">
        <f>C46/C47</f>
        <v>0.30993950990092811</v>
      </c>
    </row>
  </sheetData>
  <mergeCells count="3">
    <mergeCell ref="B1:J1"/>
    <mergeCell ref="C48:D48"/>
    <mergeCell ref="B2:N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32ED8-3349-40FC-A31F-85807DCD4D78}">
  <sheetPr>
    <tabColor rgb="FFFFC000"/>
  </sheetPr>
  <dimension ref="B1:W38"/>
  <sheetViews>
    <sheetView workbookViewId="0">
      <pane ySplit="6" topLeftCell="A7" activePane="bottomLeft" state="frozen"/>
      <selection pane="bottomLeft" sqref="A1:XFD2"/>
    </sheetView>
  </sheetViews>
  <sheetFormatPr defaultRowHeight="15" x14ac:dyDescent="0.25"/>
  <cols>
    <col min="1" max="1" width="2.7109375" customWidth="1"/>
    <col min="2" max="2" width="8.85546875" bestFit="1" customWidth="1"/>
    <col min="3" max="3" width="11.28515625" bestFit="1" customWidth="1"/>
    <col min="4" max="4" width="10.140625" bestFit="1" customWidth="1"/>
    <col min="5" max="5" width="10.140625" customWidth="1"/>
    <col min="6" max="6" width="11.140625" customWidth="1"/>
    <col min="7" max="8" width="11.140625" bestFit="1" customWidth="1"/>
    <col min="9" max="9" width="8.5703125" customWidth="1"/>
    <col min="10" max="10" width="8.85546875" bestFit="1" customWidth="1"/>
    <col min="11" max="15" width="8.7109375" customWidth="1"/>
    <col min="16" max="19" width="10.7109375" customWidth="1"/>
  </cols>
  <sheetData>
    <row r="1" spans="2:19" x14ac:dyDescent="0.25">
      <c r="B1" s="246" t="s">
        <v>0</v>
      </c>
      <c r="C1" s="246"/>
      <c r="D1" s="246"/>
      <c r="E1" s="246"/>
      <c r="F1" s="246"/>
      <c r="G1" s="246"/>
      <c r="H1" s="246"/>
      <c r="I1" s="246"/>
      <c r="J1" s="246"/>
      <c r="K1" s="247"/>
      <c r="L1" s="208"/>
      <c r="M1" s="208"/>
    </row>
    <row r="2" spans="2:19" s="3" customFormat="1" ht="21" x14ac:dyDescent="0.35">
      <c r="B2" s="42" t="s">
        <v>204</v>
      </c>
      <c r="C2" s="42"/>
      <c r="D2" s="42"/>
      <c r="E2" s="42"/>
      <c r="F2" s="42"/>
      <c r="G2" s="42"/>
      <c r="H2" s="42"/>
      <c r="I2" s="42"/>
      <c r="J2" s="42"/>
      <c r="K2" s="209"/>
    </row>
    <row r="3" spans="2:19" s="31" customFormat="1" ht="18.75" x14ac:dyDescent="0.3">
      <c r="C3" s="31" t="s">
        <v>230</v>
      </c>
      <c r="D3" s="39"/>
      <c r="E3" s="39"/>
    </row>
    <row r="4" spans="2:19" s="31" customFormat="1" ht="18.75" x14ac:dyDescent="0.3">
      <c r="B4" s="83"/>
      <c r="C4" s="54" t="s">
        <v>205</v>
      </c>
      <c r="D4" s="83"/>
      <c r="E4" s="83"/>
      <c r="F4" s="83"/>
      <c r="G4" s="83"/>
      <c r="H4" s="83"/>
      <c r="I4" s="83"/>
      <c r="J4" s="83"/>
    </row>
    <row r="5" spans="2:19" s="31" customFormat="1" ht="18.75" x14ac:dyDescent="0.3">
      <c r="B5" s="83"/>
      <c r="C5" s="331" t="s">
        <v>206</v>
      </c>
      <c r="D5" s="331"/>
      <c r="E5" s="331"/>
      <c r="F5" s="332" t="s">
        <v>207</v>
      </c>
      <c r="G5" s="332"/>
      <c r="H5" s="332"/>
      <c r="I5" s="332"/>
      <c r="J5" s="333" t="s">
        <v>208</v>
      </c>
      <c r="K5" s="333"/>
      <c r="L5" s="333"/>
      <c r="M5" s="333"/>
    </row>
    <row r="6" spans="2:19" s="31" customFormat="1" ht="18.75" x14ac:dyDescent="0.3">
      <c r="B6" s="39"/>
      <c r="C6" s="39"/>
      <c r="D6" s="334" t="s">
        <v>209</v>
      </c>
      <c r="E6" s="334"/>
      <c r="F6" s="334"/>
      <c r="G6" s="334"/>
      <c r="H6" s="334"/>
      <c r="I6" s="334"/>
      <c r="J6" s="334"/>
      <c r="K6" s="334"/>
      <c r="L6" s="334"/>
    </row>
    <row r="7" spans="2:19" s="3" customFormat="1" ht="21.75" thickBot="1" x14ac:dyDescent="0.4">
      <c r="K7" s="253"/>
      <c r="L7" s="253"/>
      <c r="M7" s="253"/>
      <c r="N7" s="253"/>
      <c r="O7" s="253"/>
      <c r="P7" s="253"/>
      <c r="Q7" s="253"/>
      <c r="R7" s="253"/>
      <c r="S7" s="254"/>
    </row>
    <row r="8" spans="2:19" s="39" customFormat="1" ht="21.75" thickBot="1" x14ac:dyDescent="0.4">
      <c r="B8" s="76" t="s">
        <v>70</v>
      </c>
      <c r="C8" s="212" t="s">
        <v>34</v>
      </c>
      <c r="D8" s="213" t="s">
        <v>35</v>
      </c>
      <c r="E8" s="214" t="s">
        <v>211</v>
      </c>
      <c r="F8" s="51" t="s">
        <v>68</v>
      </c>
      <c r="G8" s="51" t="s">
        <v>69</v>
      </c>
      <c r="H8" s="52" t="s">
        <v>28</v>
      </c>
      <c r="I8" s="53" t="s">
        <v>30</v>
      </c>
      <c r="K8" s="253"/>
      <c r="L8" s="255"/>
      <c r="M8" s="255"/>
      <c r="N8" s="255"/>
      <c r="O8" s="255"/>
      <c r="P8" s="255"/>
      <c r="Q8" s="256"/>
      <c r="R8" s="257"/>
      <c r="S8" s="257"/>
    </row>
    <row r="9" spans="2:19" s="39" customFormat="1" ht="18.75" x14ac:dyDescent="0.3">
      <c r="B9" s="216" t="s">
        <v>63</v>
      </c>
      <c r="C9" s="217">
        <v>54</v>
      </c>
      <c r="D9" s="217">
        <v>80</v>
      </c>
      <c r="E9" s="39">
        <f>C9+D9</f>
        <v>134</v>
      </c>
      <c r="F9" s="45">
        <f t="shared" ref="F9:H12" si="0">C9*LN(C9)</f>
        <v>215.40513851447082</v>
      </c>
      <c r="G9" s="45">
        <f t="shared" si="0"/>
        <v>350.5621307739105</v>
      </c>
      <c r="H9" s="45">
        <f t="shared" si="0"/>
        <v>656.31053319342209</v>
      </c>
      <c r="I9" s="344">
        <f>1/E9</f>
        <v>7.462686567164179E-3</v>
      </c>
      <c r="K9" s="258"/>
      <c r="L9" s="259"/>
      <c r="M9" s="259"/>
      <c r="N9" s="259"/>
      <c r="O9" s="259"/>
      <c r="P9" s="259"/>
      <c r="Q9" s="260"/>
      <c r="R9" s="261"/>
      <c r="S9" s="261"/>
    </row>
    <row r="10" spans="2:19" s="39" customFormat="1" ht="18.75" x14ac:dyDescent="0.3">
      <c r="B10" s="216" t="s">
        <v>64</v>
      </c>
      <c r="C10" s="217">
        <v>40</v>
      </c>
      <c r="D10" s="217">
        <v>22</v>
      </c>
      <c r="E10" s="39">
        <f>C10+D10</f>
        <v>62</v>
      </c>
      <c r="F10" s="45">
        <f t="shared" si="0"/>
        <v>147.55517816455745</v>
      </c>
      <c r="G10" s="45">
        <f t="shared" si="0"/>
        <v>68.002933973882961</v>
      </c>
      <c r="H10" s="45">
        <f t="shared" si="0"/>
        <v>255.88233187279567</v>
      </c>
      <c r="I10" s="344">
        <f>1/E10</f>
        <v>1.6129032258064516E-2</v>
      </c>
      <c r="K10" s="258"/>
      <c r="L10" s="259"/>
      <c r="M10" s="259"/>
      <c r="N10" s="259"/>
      <c r="O10" s="259"/>
      <c r="P10" s="259"/>
      <c r="Q10" s="260"/>
      <c r="R10" s="261"/>
      <c r="S10" s="261"/>
    </row>
    <row r="11" spans="2:19" s="39" customFormat="1" ht="18.75" x14ac:dyDescent="0.3">
      <c r="B11" s="216" t="s">
        <v>67</v>
      </c>
      <c r="C11" s="217">
        <v>8</v>
      </c>
      <c r="D11" s="217">
        <v>8</v>
      </c>
      <c r="E11" s="39">
        <f>C11+D11</f>
        <v>16</v>
      </c>
      <c r="F11" s="45">
        <f t="shared" si="0"/>
        <v>16.635532333438686</v>
      </c>
      <c r="G11" s="45">
        <f t="shared" si="0"/>
        <v>16.635532333438686</v>
      </c>
      <c r="H11" s="45">
        <f t="shared" si="0"/>
        <v>44.361419555836498</v>
      </c>
      <c r="I11" s="344">
        <f>1/E11</f>
        <v>6.25E-2</v>
      </c>
      <c r="K11" s="328"/>
      <c r="L11" s="328"/>
      <c r="M11" s="259"/>
      <c r="N11" s="259"/>
      <c r="O11" s="259"/>
      <c r="P11" s="259"/>
      <c r="Q11" s="260"/>
      <c r="R11" s="261"/>
      <c r="S11" s="261"/>
    </row>
    <row r="12" spans="2:19" s="39" customFormat="1" ht="19.5" thickBot="1" x14ac:dyDescent="0.35">
      <c r="B12" s="223" t="s">
        <v>65</v>
      </c>
      <c r="C12" s="217">
        <v>98</v>
      </c>
      <c r="D12" s="217">
        <v>90</v>
      </c>
      <c r="E12" s="89">
        <f>C12+D12</f>
        <v>188</v>
      </c>
      <c r="F12" s="132">
        <f t="shared" si="0"/>
        <v>449.32681290971607</v>
      </c>
      <c r="G12" s="132">
        <f t="shared" si="0"/>
        <v>404.98287032972382</v>
      </c>
      <c r="H12" s="132">
        <f t="shared" si="0"/>
        <v>984.45108901203048</v>
      </c>
      <c r="I12" s="345">
        <f>1/E12</f>
        <v>5.3191489361702126E-3</v>
      </c>
      <c r="K12" s="262"/>
      <c r="L12" s="259"/>
      <c r="M12" s="259"/>
      <c r="N12" s="259"/>
      <c r="O12" s="259"/>
      <c r="P12" s="259"/>
      <c r="Q12" s="260"/>
      <c r="R12" s="261"/>
      <c r="S12" s="261"/>
    </row>
    <row r="13" spans="2:19" s="39" customFormat="1" ht="18.75" x14ac:dyDescent="0.3">
      <c r="B13" s="224" t="s">
        <v>6</v>
      </c>
      <c r="C13" s="59">
        <f t="shared" ref="C13:I13" si="1">SUM(C9:C12)</f>
        <v>200</v>
      </c>
      <c r="D13" s="59">
        <f t="shared" si="1"/>
        <v>200</v>
      </c>
      <c r="E13" s="59">
        <f t="shared" si="1"/>
        <v>400</v>
      </c>
      <c r="F13" s="225">
        <f t="shared" si="1"/>
        <v>828.92266192218301</v>
      </c>
      <c r="G13" s="225">
        <f t="shared" si="1"/>
        <v>840.18346741095593</v>
      </c>
      <c r="H13" s="225">
        <f t="shared" si="1"/>
        <v>1941.0053736340847</v>
      </c>
      <c r="I13" s="226">
        <f t="shared" si="1"/>
        <v>9.1410867761398909E-2</v>
      </c>
      <c r="K13" s="328"/>
      <c r="L13" s="328"/>
      <c r="M13" s="259"/>
      <c r="N13" s="259"/>
      <c r="O13" s="259"/>
      <c r="P13" s="259"/>
      <c r="Q13" s="260"/>
      <c r="R13" s="261"/>
      <c r="S13" s="261"/>
    </row>
    <row r="14" spans="2:19" ht="18.75" x14ac:dyDescent="0.3">
      <c r="G14" s="74"/>
      <c r="K14" s="328"/>
      <c r="L14" s="328"/>
      <c r="M14" s="259"/>
      <c r="N14" s="259"/>
      <c r="O14" s="259"/>
      <c r="P14" s="259"/>
      <c r="Q14" s="260"/>
      <c r="R14" s="261"/>
      <c r="S14" s="261"/>
    </row>
    <row r="15" spans="2:19" ht="18.75" x14ac:dyDescent="0.3">
      <c r="B15" s="31">
        <v>1</v>
      </c>
      <c r="C15" s="227">
        <f xml:space="preserve"> SUM(F9:G12)</f>
        <v>1669.1061293331391</v>
      </c>
      <c r="D15" s="43" t="s">
        <v>213</v>
      </c>
      <c r="E15" s="39"/>
      <c r="F15" s="39"/>
      <c r="G15" s="39"/>
      <c r="H15" s="39"/>
      <c r="I15" s="39"/>
      <c r="K15" s="329"/>
      <c r="L15" s="329"/>
      <c r="M15" s="263"/>
      <c r="N15" s="263"/>
      <c r="O15" s="263"/>
      <c r="P15" s="263"/>
      <c r="Q15" s="264"/>
      <c r="R15" s="261"/>
      <c r="S15" s="261"/>
    </row>
    <row r="16" spans="2:19" ht="18.75" x14ac:dyDescent="0.3">
      <c r="B16" s="31">
        <v>2</v>
      </c>
      <c r="C16" s="227">
        <f>SUM(H9:H12)</f>
        <v>1941.0053736340847</v>
      </c>
      <c r="D16" s="43" t="s">
        <v>214</v>
      </c>
      <c r="E16" s="39"/>
      <c r="F16" s="39"/>
      <c r="G16" s="39"/>
      <c r="H16" s="39"/>
      <c r="I16" s="39"/>
      <c r="K16" s="329"/>
      <c r="L16" s="329"/>
      <c r="M16" s="263"/>
      <c r="N16" s="263"/>
      <c r="O16" s="263"/>
      <c r="P16" s="263"/>
      <c r="Q16" s="264"/>
      <c r="R16" s="261"/>
      <c r="S16" s="261"/>
    </row>
    <row r="17" spans="2:23" ht="18.75" x14ac:dyDescent="0.3">
      <c r="B17" s="31">
        <v>3</v>
      </c>
      <c r="C17" s="227">
        <f>(C13*LN(C13)+D13*LN(D13))</f>
        <v>2119.3269466192146</v>
      </c>
      <c r="D17" s="43" t="s">
        <v>215</v>
      </c>
      <c r="E17" s="39"/>
      <c r="F17" s="39"/>
      <c r="G17" s="39"/>
      <c r="H17" s="39"/>
      <c r="I17" s="39"/>
      <c r="K17" s="329"/>
      <c r="L17" s="329"/>
      <c r="M17" s="265"/>
      <c r="N17" s="265"/>
      <c r="O17" s="265"/>
      <c r="P17" s="265"/>
      <c r="Q17" s="264"/>
      <c r="R17" s="261"/>
      <c r="S17" s="261"/>
    </row>
    <row r="18" spans="2:23" ht="18.75" x14ac:dyDescent="0.3">
      <c r="B18" s="31">
        <v>4</v>
      </c>
      <c r="C18" s="227">
        <f>E13*LN(E13)</f>
        <v>2396.5858188431926</v>
      </c>
      <c r="D18" s="43" t="s">
        <v>214</v>
      </c>
      <c r="E18" s="39"/>
      <c r="F18" s="39"/>
      <c r="G18" s="39"/>
      <c r="H18" s="39"/>
      <c r="I18" s="39"/>
      <c r="K18" s="329"/>
      <c r="L18" s="329"/>
      <c r="M18" s="263"/>
      <c r="N18" s="263"/>
      <c r="O18" s="263"/>
      <c r="P18" s="263"/>
      <c r="Q18" s="264"/>
      <c r="R18" s="261"/>
      <c r="S18" s="261"/>
    </row>
    <row r="19" spans="2:23" ht="18.75" x14ac:dyDescent="0.3">
      <c r="B19" s="31">
        <v>5</v>
      </c>
      <c r="C19" s="48">
        <f>2*(C15 - C16 - C17 + C18)</f>
        <v>10.719255846064698</v>
      </c>
      <c r="D19" s="228" t="s">
        <v>216</v>
      </c>
      <c r="E19" s="43" t="s">
        <v>32</v>
      </c>
      <c r="F19" s="39"/>
      <c r="G19" s="39"/>
      <c r="H19" s="39"/>
      <c r="I19" s="39"/>
      <c r="K19" s="229"/>
      <c r="L19" s="31"/>
      <c r="M19" s="31"/>
      <c r="N19" s="31"/>
      <c r="O19" s="31"/>
      <c r="Q19" s="60"/>
      <c r="R19" s="60"/>
      <c r="S19" s="60"/>
    </row>
    <row r="20" spans="2:23" ht="18.75" x14ac:dyDescent="0.3">
      <c r="D20" s="230"/>
      <c r="E20" s="231" t="s">
        <v>217</v>
      </c>
      <c r="F20" s="41"/>
      <c r="G20" s="39"/>
      <c r="H20" s="39"/>
      <c r="R20" s="60"/>
      <c r="S20" s="60"/>
    </row>
    <row r="21" spans="2:23" ht="19.5" thickBot="1" x14ac:dyDescent="0.35">
      <c r="B21" s="230"/>
      <c r="C21" s="231"/>
      <c r="D21" s="41"/>
      <c r="E21" s="39"/>
      <c r="F21" s="39"/>
      <c r="P21" s="60"/>
      <c r="Q21" s="60"/>
    </row>
    <row r="22" spans="2:23" ht="19.5" thickBot="1" x14ac:dyDescent="0.35">
      <c r="B22" s="29"/>
      <c r="D22" s="232"/>
      <c r="E22" s="283" t="s">
        <v>218</v>
      </c>
      <c r="F22" s="283" t="s">
        <v>219</v>
      </c>
      <c r="G22" s="284" t="s">
        <v>220</v>
      </c>
      <c r="O22" s="31"/>
      <c r="P22" s="60"/>
    </row>
    <row r="23" spans="2:23" ht="19.5" thickBot="1" x14ac:dyDescent="0.35">
      <c r="B23" s="29"/>
      <c r="D23" s="233" t="s">
        <v>221</v>
      </c>
      <c r="E23" s="234">
        <v>6.2510000000000003</v>
      </c>
      <c r="F23" s="235">
        <v>11.345000000000001</v>
      </c>
      <c r="G23" s="236">
        <v>16.265999999999998</v>
      </c>
      <c r="L23" s="83"/>
      <c r="M23" s="60"/>
      <c r="N23" s="60"/>
      <c r="O23" s="60"/>
      <c r="P23" s="31"/>
    </row>
    <row r="24" spans="2:23" ht="21" x14ac:dyDescent="0.35">
      <c r="B24" s="3" t="s">
        <v>223</v>
      </c>
      <c r="O24" s="31"/>
    </row>
    <row r="25" spans="2:23" ht="20.100000000000001" customHeight="1" x14ac:dyDescent="0.35">
      <c r="C25" s="56"/>
      <c r="D25" s="324" t="s">
        <v>52</v>
      </c>
      <c r="E25" s="325"/>
      <c r="F25" s="325"/>
      <c r="G25" s="325"/>
      <c r="H25" s="326" t="s">
        <v>53</v>
      </c>
      <c r="I25" s="326"/>
      <c r="J25" s="326"/>
      <c r="K25" s="330" t="s">
        <v>222</v>
      </c>
      <c r="L25" s="330"/>
      <c r="M25" s="330"/>
      <c r="N25" s="330"/>
      <c r="Q25" s="237"/>
      <c r="R25" s="237"/>
      <c r="T25" s="59"/>
      <c r="U25" s="59"/>
      <c r="V25" s="59"/>
      <c r="W25" s="59"/>
    </row>
    <row r="26" spans="2:23" ht="21.75" thickBot="1" x14ac:dyDescent="0.4">
      <c r="B26" s="60" t="s">
        <v>57</v>
      </c>
      <c r="C26" s="61" t="s">
        <v>58</v>
      </c>
      <c r="D26" s="62" t="s">
        <v>59</v>
      </c>
      <c r="E26" s="62" t="s">
        <v>60</v>
      </c>
      <c r="F26" s="62" t="s">
        <v>61</v>
      </c>
      <c r="G26" s="62" t="s">
        <v>62</v>
      </c>
      <c r="H26" s="63" t="s">
        <v>63</v>
      </c>
      <c r="I26" s="64" t="s">
        <v>64</v>
      </c>
      <c r="J26" s="64" t="s">
        <v>65</v>
      </c>
      <c r="K26" s="238" t="s">
        <v>63</v>
      </c>
      <c r="L26" s="239" t="s">
        <v>64</v>
      </c>
      <c r="M26" s="240" t="s">
        <v>67</v>
      </c>
      <c r="N26" s="240" t="s">
        <v>65</v>
      </c>
      <c r="Q26" s="241"/>
      <c r="R26" s="241"/>
      <c r="S26" s="242"/>
      <c r="T26" s="71"/>
      <c r="U26" s="71"/>
      <c r="V26" s="71"/>
    </row>
    <row r="27" spans="2:23" ht="18.75" x14ac:dyDescent="0.3">
      <c r="B27" s="54">
        <v>87</v>
      </c>
      <c r="C27" s="243" t="s">
        <v>152</v>
      </c>
      <c r="D27" s="45">
        <v>0.27</v>
      </c>
      <c r="E27" s="45">
        <v>0.2</v>
      </c>
      <c r="F27" s="45">
        <v>0.04</v>
      </c>
      <c r="G27" s="45">
        <v>0.49</v>
      </c>
      <c r="H27" s="41">
        <f t="shared" ref="H27" si="2" xml:space="preserve"> SQRT(G27 + D27) - J27</f>
        <v>0.17177978870813471</v>
      </c>
      <c r="I27" s="41">
        <f t="shared" ref="I27" si="3" xml:space="preserve"> SQRT(G27 + E27) - J27</f>
        <v>0.13066238629180749</v>
      </c>
      <c r="J27" s="41">
        <f t="shared" ref="J27" si="4">SQRT(G27)</f>
        <v>0.7</v>
      </c>
      <c r="K27" s="244">
        <f t="shared" ref="K27" si="5">H27^2 + 2*H27*J27</f>
        <v>0.26999999999999996</v>
      </c>
      <c r="L27" s="244">
        <f t="shared" ref="L27" si="6" xml:space="preserve"> I27^2 + (2*I27 * J27)</f>
        <v>0.19999999999999998</v>
      </c>
      <c r="M27" s="244">
        <f t="shared" ref="M27" si="7">2 * H27 * I27</f>
        <v>4.4890314218614731E-2</v>
      </c>
      <c r="N27" s="244">
        <f t="shared" ref="N27" si="8">J27^2</f>
        <v>0.48999999999999994</v>
      </c>
      <c r="P27" s="41"/>
    </row>
    <row r="28" spans="2:23" ht="19.5" thickBot="1" x14ac:dyDescent="0.35">
      <c r="B28" s="54">
        <v>88</v>
      </c>
      <c r="C28" s="245" t="s">
        <v>153</v>
      </c>
      <c r="D28" s="45">
        <v>0.4</v>
      </c>
      <c r="E28" s="45">
        <v>0.11</v>
      </c>
      <c r="F28" s="45">
        <v>0.04</v>
      </c>
      <c r="G28" s="45">
        <v>0.45</v>
      </c>
      <c r="H28" s="41">
        <f t="shared" ref="H28" si="9" xml:space="preserve"> SQRT(G28 + D28) - J28</f>
        <v>0.25113405247935183</v>
      </c>
      <c r="I28" s="41">
        <f t="shared" ref="I28" si="10" xml:space="preserve"> SQRT(G28 + E28) - J28</f>
        <v>7.7511084104851413E-2</v>
      </c>
      <c r="J28" s="41">
        <f t="shared" ref="J28" si="11">SQRT(G28)</f>
        <v>0.67082039324993692</v>
      </c>
      <c r="K28" s="244">
        <f t="shared" ref="K28" si="12">H28^2 + 2*H28*J28</f>
        <v>0.4</v>
      </c>
      <c r="L28" s="244">
        <f t="shared" ref="L28" si="13" xml:space="preserve"> I28^2 + (2*I28 * J28)</f>
        <v>0.11000000000000007</v>
      </c>
      <c r="M28" s="244">
        <f t="shared" ref="M28" si="14">2 * H28 * I28</f>
        <v>3.8931345326638417E-2</v>
      </c>
      <c r="N28" s="244">
        <f t="shared" ref="N28" si="15">J28^2</f>
        <v>0.45</v>
      </c>
      <c r="O28" s="41"/>
      <c r="P28" s="41"/>
    </row>
    <row r="29" spans="2:23" ht="15.75" thickBot="1" x14ac:dyDescent="0.3"/>
    <row r="30" spans="2:23" ht="21" x14ac:dyDescent="0.35">
      <c r="B30" s="3"/>
      <c r="C30" s="3"/>
      <c r="D30" s="3"/>
      <c r="E30" s="3"/>
      <c r="F30" s="3"/>
      <c r="G30" s="3"/>
      <c r="H30" s="3"/>
      <c r="I30" s="250"/>
      <c r="J30" s="251"/>
      <c r="K30" s="251"/>
      <c r="L30" s="15"/>
      <c r="M30" s="210" t="s">
        <v>210</v>
      </c>
      <c r="N30" s="211"/>
    </row>
    <row r="31" spans="2:23" ht="21.75" thickBot="1" x14ac:dyDescent="0.4">
      <c r="B31" s="3"/>
      <c r="C31" s="215"/>
      <c r="D31" s="215" t="s">
        <v>63</v>
      </c>
      <c r="E31" s="215" t="s">
        <v>64</v>
      </c>
      <c r="F31" s="215" t="s">
        <v>67</v>
      </c>
      <c r="G31" s="215" t="s">
        <v>65</v>
      </c>
      <c r="H31" s="138" t="s">
        <v>26</v>
      </c>
      <c r="I31" s="47"/>
      <c r="J31" s="47"/>
      <c r="K31" s="47"/>
      <c r="L31" s="223">
        <v>100</v>
      </c>
      <c r="M31" s="248">
        <v>200</v>
      </c>
      <c r="N31" s="249">
        <v>1000</v>
      </c>
    </row>
    <row r="32" spans="2:23" ht="18.75" x14ac:dyDescent="0.3">
      <c r="B32" s="218" t="s">
        <v>152</v>
      </c>
      <c r="C32" s="219"/>
      <c r="D32" s="136">
        <v>27</v>
      </c>
      <c r="E32" s="136">
        <v>20</v>
      </c>
      <c r="F32" s="136">
        <v>4</v>
      </c>
      <c r="G32" s="136">
        <v>49</v>
      </c>
      <c r="H32" s="220" t="s">
        <v>212</v>
      </c>
      <c r="I32" s="261"/>
      <c r="J32" s="261"/>
      <c r="K32" s="252"/>
      <c r="L32" s="341">
        <v>5.3596279230323489</v>
      </c>
      <c r="M32" s="342">
        <v>10.719255846064698</v>
      </c>
      <c r="N32" s="343">
        <v>53.59627923032167</v>
      </c>
    </row>
    <row r="33" spans="2:23" ht="19.5" thickBot="1" x14ac:dyDescent="0.35">
      <c r="B33" s="221" t="s">
        <v>153</v>
      </c>
      <c r="C33" s="222"/>
      <c r="D33" s="136">
        <v>40</v>
      </c>
      <c r="E33" s="136">
        <v>11</v>
      </c>
      <c r="F33" s="136">
        <v>4</v>
      </c>
      <c r="G33" s="136">
        <v>45</v>
      </c>
      <c r="H33" s="220" t="s">
        <v>212</v>
      </c>
      <c r="I33" s="281"/>
      <c r="J33" s="282"/>
      <c r="K33" s="282"/>
      <c r="L33" s="280" t="s">
        <v>231</v>
      </c>
      <c r="M33" s="278" t="s">
        <v>224</v>
      </c>
      <c r="N33" s="279" t="s">
        <v>225</v>
      </c>
    </row>
    <row r="35" spans="2:23" s="31" customFormat="1" ht="18.75" x14ac:dyDescent="0.3">
      <c r="B35" s="31" t="s">
        <v>229</v>
      </c>
    </row>
    <row r="36" spans="2:23" ht="20.100000000000001" customHeight="1" x14ac:dyDescent="0.35">
      <c r="C36" s="56"/>
      <c r="D36" s="324" t="s">
        <v>52</v>
      </c>
      <c r="E36" s="325"/>
      <c r="F36" s="325"/>
      <c r="G36" s="325"/>
      <c r="H36" s="326" t="s">
        <v>53</v>
      </c>
      <c r="I36" s="326"/>
      <c r="J36" s="326"/>
      <c r="K36" s="57" t="s">
        <v>54</v>
      </c>
      <c r="L36" s="327" t="s">
        <v>55</v>
      </c>
      <c r="M36" s="327"/>
      <c r="N36" s="327"/>
      <c r="O36" s="322" t="s">
        <v>56</v>
      </c>
      <c r="P36" s="323"/>
      <c r="Q36" s="323"/>
      <c r="R36" s="323"/>
      <c r="S36" s="58"/>
      <c r="T36" s="59"/>
      <c r="U36" s="59"/>
      <c r="V36" s="59"/>
      <c r="W36" s="59"/>
    </row>
    <row r="37" spans="2:23" ht="21" x14ac:dyDescent="0.35">
      <c r="B37" s="60" t="s">
        <v>57</v>
      </c>
      <c r="C37" s="61" t="s">
        <v>58</v>
      </c>
      <c r="D37" s="62" t="s">
        <v>59</v>
      </c>
      <c r="E37" s="62" t="s">
        <v>60</v>
      </c>
      <c r="F37" s="62" t="s">
        <v>61</v>
      </c>
      <c r="G37" s="62" t="s">
        <v>62</v>
      </c>
      <c r="H37" s="63" t="s">
        <v>63</v>
      </c>
      <c r="I37" s="64" t="s">
        <v>64</v>
      </c>
      <c r="J37" s="64" t="s">
        <v>65</v>
      </c>
      <c r="K37" s="65" t="s">
        <v>66</v>
      </c>
      <c r="L37" s="66" t="s">
        <v>63</v>
      </c>
      <c r="M37" s="67" t="s">
        <v>64</v>
      </c>
      <c r="N37" s="67" t="s">
        <v>65</v>
      </c>
      <c r="O37" s="68" t="s">
        <v>63</v>
      </c>
      <c r="P37" s="69" t="s">
        <v>64</v>
      </c>
      <c r="Q37" s="69" t="s">
        <v>67</v>
      </c>
      <c r="R37" s="69" t="s">
        <v>65</v>
      </c>
      <c r="S37" s="70" t="s">
        <v>26</v>
      </c>
      <c r="T37" s="71"/>
      <c r="U37" s="71"/>
      <c r="V37" s="71"/>
    </row>
    <row r="38" spans="2:23" ht="20.100000000000001" customHeight="1" x14ac:dyDescent="0.3">
      <c r="B38" s="54">
        <v>57</v>
      </c>
      <c r="C38" s="346" t="s">
        <v>46</v>
      </c>
      <c r="D38" s="45">
        <v>0.34</v>
      </c>
      <c r="E38" s="45">
        <v>0.2</v>
      </c>
      <c r="F38" s="45">
        <v>0.06</v>
      </c>
      <c r="G38" s="45">
        <v>0.4</v>
      </c>
      <c r="H38" s="41">
        <f t="shared" ref="H38" si="16" xml:space="preserve"> SQRT(G38 + D38) - J38</f>
        <v>0.22777699467058676</v>
      </c>
      <c r="I38" s="41">
        <f t="shared" ref="I38" si="17" xml:space="preserve"> SQRT(G38 + E38) - J38</f>
        <v>0.14214113720780752</v>
      </c>
      <c r="J38" s="41">
        <f t="shared" ref="J38" si="18">SQRT(G38)</f>
        <v>0.63245553203367588</v>
      </c>
      <c r="K38" s="55">
        <f t="shared" ref="K38" si="19" xml:space="preserve"> 1 - SUM(H38:J38)</f>
        <v>-2.3736639120701675E-3</v>
      </c>
      <c r="L38" s="41">
        <f t="shared" ref="L38" si="20">H38*(1 + K38/2)</f>
        <v>0.22750666165446207</v>
      </c>
      <c r="M38" s="41">
        <f t="shared" ref="M38" si="21">I38*(1 + K38/2)</f>
        <v>0.14197243956390213</v>
      </c>
      <c r="N38" s="41">
        <f t="shared" ref="N38" si="22">(J38 +K38/2) * (1 + K38/2)</f>
        <v>0.63051949021154396</v>
      </c>
      <c r="O38" s="41">
        <f t="shared" ref="O38" si="23">L38^2 + 2*L38*N38</f>
        <v>0.33865404974936114</v>
      </c>
      <c r="P38" s="41">
        <f t="shared" ref="P38" si="24">M38^2 + 2*M38*N38</f>
        <v>0.19918895403156744</v>
      </c>
      <c r="Q38" s="41">
        <f t="shared" ref="Q38" si="25">2*L38*M38</f>
        <v>6.4599351544246494E-2</v>
      </c>
      <c r="R38" s="41">
        <f t="shared" ref="R38" si="26">N38^2</f>
        <v>0.3975548275366253</v>
      </c>
      <c r="S38" s="55">
        <f t="shared" ref="S38" si="27">SUM(O38:R38)</f>
        <v>0.99999718286180028</v>
      </c>
    </row>
  </sheetData>
  <mergeCells count="18">
    <mergeCell ref="K13:L13"/>
    <mergeCell ref="C5:E5"/>
    <mergeCell ref="F5:I5"/>
    <mergeCell ref="J5:M5"/>
    <mergeCell ref="D6:L6"/>
    <mergeCell ref="K11:L11"/>
    <mergeCell ref="O36:R36"/>
    <mergeCell ref="D36:G36"/>
    <mergeCell ref="H36:J36"/>
    <mergeCell ref="L36:N36"/>
    <mergeCell ref="K14:L14"/>
    <mergeCell ref="K15:L15"/>
    <mergeCell ref="K16:L16"/>
    <mergeCell ref="K17:L17"/>
    <mergeCell ref="K18:L18"/>
    <mergeCell ref="D25:G25"/>
    <mergeCell ref="H25:J25"/>
    <mergeCell ref="K25:N25"/>
  </mergeCells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3888B-04DE-40E9-9ABE-B59C7F7EC2F5}">
  <sheetPr>
    <tabColor rgb="FF00B0F0"/>
  </sheetPr>
  <dimension ref="B1:M48"/>
  <sheetViews>
    <sheetView workbookViewId="0">
      <pane ySplit="2" topLeftCell="A3" activePane="bottomLeft" state="frozen"/>
      <selection pane="bottomLeft" activeCell="C57" sqref="C57"/>
    </sheetView>
  </sheetViews>
  <sheetFormatPr defaultRowHeight="15" x14ac:dyDescent="0.25"/>
  <cols>
    <col min="1" max="1" width="2.5703125" customWidth="1"/>
    <col min="2" max="2" width="9.42578125" bestFit="1" customWidth="1"/>
    <col min="3" max="4" width="10.7109375" customWidth="1"/>
    <col min="5" max="5" width="2.7109375" customWidth="1"/>
    <col min="7" max="8" width="10.7109375" customWidth="1"/>
    <col min="9" max="9" width="2.7109375" customWidth="1"/>
    <col min="11" max="12" width="10.7109375" customWidth="1"/>
  </cols>
  <sheetData>
    <row r="1" spans="2:13" x14ac:dyDescent="0.25">
      <c r="B1" s="314" t="s">
        <v>0</v>
      </c>
      <c r="C1" s="314"/>
      <c r="D1" s="314"/>
      <c r="E1" s="314"/>
      <c r="F1" s="314"/>
      <c r="G1" s="314"/>
      <c r="H1" s="314"/>
      <c r="I1" s="314"/>
      <c r="J1" s="314"/>
      <c r="K1" s="314"/>
      <c r="L1" s="314"/>
    </row>
    <row r="2" spans="2:13" s="3" customFormat="1" ht="21.75" thickBot="1" x14ac:dyDescent="0.4">
      <c r="B2" s="84" t="s">
        <v>238</v>
      </c>
      <c r="C2" s="84"/>
      <c r="D2" s="84"/>
      <c r="E2" s="77"/>
      <c r="F2" s="77"/>
      <c r="G2" s="77"/>
      <c r="H2" s="77"/>
      <c r="I2" s="77"/>
      <c r="J2" s="77"/>
      <c r="K2" s="77"/>
      <c r="L2" s="77"/>
      <c r="M2" s="4"/>
    </row>
    <row r="3" spans="2:13" s="3" customFormat="1" ht="21.75" thickBot="1" x14ac:dyDescent="0.4">
      <c r="B3" s="15"/>
      <c r="C3" s="312" t="s">
        <v>40</v>
      </c>
      <c r="D3" s="313"/>
      <c r="F3" s="15"/>
      <c r="G3" s="312" t="s">
        <v>45</v>
      </c>
      <c r="H3" s="313"/>
      <c r="J3" s="15"/>
      <c r="K3" s="312" t="s">
        <v>43</v>
      </c>
      <c r="L3" s="313"/>
    </row>
    <row r="4" spans="2:13" s="39" customFormat="1" ht="19.5" thickBot="1" x14ac:dyDescent="0.35">
      <c r="B4" s="87"/>
      <c r="C4" s="5" t="s">
        <v>34</v>
      </c>
      <c r="D4" s="6" t="s">
        <v>35</v>
      </c>
      <c r="E4" s="47"/>
      <c r="F4" s="87"/>
      <c r="G4" s="5" t="s">
        <v>34</v>
      </c>
      <c r="H4" s="6" t="s">
        <v>35</v>
      </c>
      <c r="J4" s="87"/>
      <c r="K4" s="5" t="s">
        <v>42</v>
      </c>
      <c r="L4" s="6" t="s">
        <v>25</v>
      </c>
    </row>
    <row r="5" spans="2:13" s="39" customFormat="1" ht="18.75" x14ac:dyDescent="0.3">
      <c r="B5" s="87"/>
      <c r="C5" s="34">
        <v>7.2</v>
      </c>
      <c r="D5" s="90">
        <v>8.8000000000000007</v>
      </c>
      <c r="F5" s="87"/>
      <c r="G5" s="34">
        <v>7.2</v>
      </c>
      <c r="H5" s="90">
        <v>8.8000000000000007</v>
      </c>
      <c r="J5" s="87"/>
      <c r="K5" s="34">
        <v>4.0199999999999996</v>
      </c>
      <c r="L5" s="103">
        <v>3.02</v>
      </c>
    </row>
    <row r="6" spans="2:13" s="39" customFormat="1" ht="18.75" x14ac:dyDescent="0.3">
      <c r="B6" s="87"/>
      <c r="C6" s="37">
        <v>7.1</v>
      </c>
      <c r="D6" s="91">
        <v>7.5</v>
      </c>
      <c r="F6" s="87"/>
      <c r="G6" s="37">
        <v>7.1</v>
      </c>
      <c r="H6" s="91">
        <v>7.5</v>
      </c>
      <c r="J6" s="87"/>
      <c r="K6" s="37">
        <v>3.88</v>
      </c>
      <c r="L6" s="104"/>
    </row>
    <row r="7" spans="2:13" s="39" customFormat="1" ht="18.75" x14ac:dyDescent="0.3">
      <c r="B7" s="87"/>
      <c r="C7" s="37">
        <v>9.1</v>
      </c>
      <c r="D7" s="91">
        <v>7.7</v>
      </c>
      <c r="F7" s="87"/>
      <c r="G7" s="37">
        <v>9.1</v>
      </c>
      <c r="H7" s="91">
        <v>7.7</v>
      </c>
      <c r="J7" s="87"/>
      <c r="K7" s="37">
        <v>3.34</v>
      </c>
      <c r="L7" s="104"/>
    </row>
    <row r="8" spans="2:13" s="39" customFormat="1" ht="18.75" x14ac:dyDescent="0.3">
      <c r="B8" s="87"/>
      <c r="C8" s="37">
        <v>7.2</v>
      </c>
      <c r="D8" s="91">
        <v>7.6</v>
      </c>
      <c r="F8" s="87"/>
      <c r="G8" s="37">
        <v>7.2</v>
      </c>
      <c r="H8" s="91">
        <v>7.6</v>
      </c>
      <c r="J8" s="87"/>
      <c r="K8" s="37">
        <v>3.87</v>
      </c>
      <c r="L8" s="104"/>
    </row>
    <row r="9" spans="2:13" s="39" customFormat="1" ht="18.75" x14ac:dyDescent="0.3">
      <c r="B9" s="87"/>
      <c r="C9" s="37">
        <v>7.3</v>
      </c>
      <c r="D9" s="91">
        <v>7.4</v>
      </c>
      <c r="F9" s="87"/>
      <c r="G9" s="37">
        <v>7.3</v>
      </c>
      <c r="H9" s="91">
        <v>7.4</v>
      </c>
      <c r="J9" s="87"/>
      <c r="K9" s="37">
        <v>3.18</v>
      </c>
      <c r="L9" s="104"/>
    </row>
    <row r="10" spans="2:13" s="39" customFormat="1" ht="18.75" x14ac:dyDescent="0.3">
      <c r="B10" s="87"/>
      <c r="C10" s="37">
        <v>7.2</v>
      </c>
      <c r="D10" s="91">
        <v>6.7</v>
      </c>
      <c r="F10" s="87"/>
      <c r="G10" s="37">
        <v>7.2</v>
      </c>
      <c r="H10" s="91">
        <v>6.7</v>
      </c>
      <c r="J10" s="87"/>
      <c r="K10" s="37"/>
      <c r="L10" s="104"/>
    </row>
    <row r="11" spans="2:13" s="39" customFormat="1" ht="18.75" x14ac:dyDescent="0.3">
      <c r="B11" s="87"/>
      <c r="C11" s="37">
        <v>7.5</v>
      </c>
      <c r="D11" s="91">
        <v>7.2</v>
      </c>
      <c r="F11" s="87"/>
      <c r="G11" s="37">
        <v>7.5</v>
      </c>
      <c r="H11" s="91">
        <v>7.2</v>
      </c>
      <c r="J11" s="87"/>
      <c r="K11" s="37"/>
      <c r="L11" s="104"/>
    </row>
    <row r="12" spans="2:13" s="39" customFormat="1" ht="18.75" x14ac:dyDescent="0.3">
      <c r="B12" s="87"/>
      <c r="C12" s="37"/>
      <c r="D12" s="91"/>
      <c r="F12" s="87"/>
      <c r="G12" s="37">
        <v>7.4</v>
      </c>
      <c r="H12" s="91"/>
      <c r="J12" s="87"/>
      <c r="K12" s="37"/>
      <c r="L12" s="104"/>
    </row>
    <row r="13" spans="2:13" s="39" customFormat="1" ht="18.75" hidden="1" x14ac:dyDescent="0.3">
      <c r="B13" s="87"/>
      <c r="C13" s="37"/>
      <c r="D13" s="91"/>
      <c r="F13" s="87"/>
      <c r="G13" s="37"/>
      <c r="H13" s="91"/>
      <c r="J13" s="87"/>
      <c r="K13" s="37"/>
      <c r="L13" s="104"/>
    </row>
    <row r="14" spans="2:13" s="39" customFormat="1" ht="18.75" hidden="1" x14ac:dyDescent="0.3">
      <c r="B14" s="87"/>
      <c r="C14" s="37"/>
      <c r="D14" s="91"/>
      <c r="F14" s="87"/>
      <c r="G14" s="37"/>
      <c r="H14" s="91"/>
      <c r="J14" s="87"/>
      <c r="K14" s="37"/>
      <c r="L14" s="104"/>
    </row>
    <row r="15" spans="2:13" s="39" customFormat="1" ht="18.75" hidden="1" x14ac:dyDescent="0.3">
      <c r="B15" s="87"/>
      <c r="C15" s="37"/>
      <c r="D15" s="91"/>
      <c r="F15" s="87"/>
      <c r="G15" s="37"/>
      <c r="H15" s="91"/>
      <c r="J15" s="87"/>
      <c r="K15" s="37"/>
      <c r="L15" s="104"/>
    </row>
    <row r="16" spans="2:13" s="39" customFormat="1" ht="18.75" hidden="1" x14ac:dyDescent="0.3">
      <c r="B16" s="87"/>
      <c r="C16" s="37"/>
      <c r="D16" s="91"/>
      <c r="F16" s="87"/>
      <c r="G16" s="37"/>
      <c r="H16" s="91"/>
      <c r="J16" s="87"/>
      <c r="K16" s="37"/>
      <c r="L16" s="104"/>
    </row>
    <row r="17" spans="2:12" s="39" customFormat="1" ht="18.75" hidden="1" x14ac:dyDescent="0.3">
      <c r="B17" s="87"/>
      <c r="C17" s="37"/>
      <c r="D17" s="91"/>
      <c r="F17" s="87"/>
      <c r="G17" s="37"/>
      <c r="H17" s="91"/>
      <c r="J17" s="87"/>
      <c r="K17" s="37"/>
      <c r="L17" s="104"/>
    </row>
    <row r="18" spans="2:12" s="39" customFormat="1" ht="18.75" hidden="1" x14ac:dyDescent="0.3">
      <c r="B18" s="87"/>
      <c r="C18" s="37"/>
      <c r="D18" s="91"/>
      <c r="F18" s="87"/>
      <c r="G18" s="37"/>
      <c r="H18" s="91"/>
      <c r="J18" s="87"/>
      <c r="K18" s="37"/>
      <c r="L18" s="104"/>
    </row>
    <row r="19" spans="2:12" s="39" customFormat="1" ht="18.75" hidden="1" x14ac:dyDescent="0.3">
      <c r="B19" s="87"/>
      <c r="C19" s="37"/>
      <c r="D19" s="91"/>
      <c r="F19" s="87"/>
      <c r="G19" s="37"/>
      <c r="H19" s="91"/>
      <c r="J19" s="87"/>
      <c r="K19" s="37"/>
      <c r="L19" s="104"/>
    </row>
    <row r="20" spans="2:12" s="39" customFormat="1" ht="18.75" hidden="1" x14ac:dyDescent="0.3">
      <c r="B20" s="87"/>
      <c r="C20" s="37"/>
      <c r="D20" s="91"/>
      <c r="F20" s="87"/>
      <c r="G20" s="37"/>
      <c r="H20" s="91"/>
      <c r="J20" s="87"/>
      <c r="K20" s="37"/>
      <c r="L20" s="104"/>
    </row>
    <row r="21" spans="2:12" s="39" customFormat="1" ht="18.75" hidden="1" x14ac:dyDescent="0.3">
      <c r="B21" s="87"/>
      <c r="C21" s="37"/>
      <c r="D21" s="91"/>
      <c r="F21" s="87"/>
      <c r="G21" s="37"/>
      <c r="H21" s="91"/>
      <c r="J21" s="87"/>
      <c r="K21" s="37"/>
      <c r="L21" s="104"/>
    </row>
    <row r="22" spans="2:12" s="39" customFormat="1" ht="18.75" hidden="1" x14ac:dyDescent="0.3">
      <c r="B22" s="87"/>
      <c r="C22" s="37"/>
      <c r="D22" s="91"/>
      <c r="F22" s="87"/>
      <c r="G22" s="37"/>
      <c r="H22" s="91"/>
      <c r="J22" s="87"/>
      <c r="K22" s="37"/>
      <c r="L22" s="104"/>
    </row>
    <row r="23" spans="2:12" s="39" customFormat="1" ht="18.75" hidden="1" x14ac:dyDescent="0.3">
      <c r="B23" s="87"/>
      <c r="C23" s="37"/>
      <c r="D23" s="91"/>
      <c r="F23" s="87"/>
      <c r="G23" s="37"/>
      <c r="H23" s="91"/>
      <c r="J23" s="87"/>
      <c r="K23" s="37"/>
      <c r="L23" s="104"/>
    </row>
    <row r="24" spans="2:12" s="39" customFormat="1" ht="18.75" hidden="1" x14ac:dyDescent="0.3">
      <c r="B24" s="87"/>
      <c r="C24" s="37"/>
      <c r="D24" s="91"/>
      <c r="F24" s="87"/>
      <c r="G24" s="37"/>
      <c r="H24" s="91"/>
      <c r="J24" s="87"/>
      <c r="K24" s="37"/>
      <c r="L24" s="104"/>
    </row>
    <row r="25" spans="2:12" s="39" customFormat="1" ht="18.75" hidden="1" x14ac:dyDescent="0.3">
      <c r="B25" s="87"/>
      <c r="C25" s="37"/>
      <c r="D25" s="91"/>
      <c r="F25" s="87"/>
      <c r="G25" s="37"/>
      <c r="H25" s="91"/>
      <c r="J25" s="87"/>
      <c r="K25" s="37"/>
      <c r="L25" s="104"/>
    </row>
    <row r="26" spans="2:12" s="39" customFormat="1" ht="18.75" hidden="1" x14ac:dyDescent="0.3">
      <c r="B26" s="87"/>
      <c r="C26" s="37"/>
      <c r="D26" s="91"/>
      <c r="F26" s="87"/>
      <c r="G26" s="37"/>
      <c r="H26" s="91"/>
      <c r="J26" s="87"/>
      <c r="K26" s="37"/>
      <c r="L26" s="104"/>
    </row>
    <row r="27" spans="2:12" s="39" customFormat="1" ht="18.75" hidden="1" x14ac:dyDescent="0.3">
      <c r="B27" s="87"/>
      <c r="C27" s="37"/>
      <c r="D27" s="91"/>
      <c r="F27" s="87"/>
      <c r="G27" s="37"/>
      <c r="H27" s="91"/>
      <c r="J27" s="87"/>
      <c r="K27" s="37"/>
      <c r="L27" s="104"/>
    </row>
    <row r="28" spans="2:12" s="39" customFormat="1" ht="18.75" hidden="1" x14ac:dyDescent="0.3">
      <c r="B28" s="87"/>
      <c r="C28" s="37"/>
      <c r="D28" s="91"/>
      <c r="F28" s="87"/>
      <c r="G28" s="37"/>
      <c r="H28" s="91"/>
      <c r="J28" s="87"/>
      <c r="K28" s="37"/>
      <c r="L28" s="104"/>
    </row>
    <row r="29" spans="2:12" s="39" customFormat="1" ht="18.75" hidden="1" x14ac:dyDescent="0.3">
      <c r="B29" s="87"/>
      <c r="C29" s="37"/>
      <c r="D29" s="91"/>
      <c r="F29" s="87"/>
      <c r="G29" s="37"/>
      <c r="H29" s="91"/>
      <c r="J29" s="87"/>
      <c r="K29" s="37"/>
      <c r="L29" s="104"/>
    </row>
    <row r="30" spans="2:12" s="39" customFormat="1" ht="18.75" hidden="1" x14ac:dyDescent="0.3">
      <c r="B30" s="87"/>
      <c r="C30" s="37"/>
      <c r="D30" s="91"/>
      <c r="F30" s="87"/>
      <c r="G30" s="37"/>
      <c r="H30" s="91"/>
      <c r="J30" s="87"/>
      <c r="K30" s="37"/>
      <c r="L30" s="104"/>
    </row>
    <row r="31" spans="2:12" s="39" customFormat="1" ht="18.75" hidden="1" x14ac:dyDescent="0.3">
      <c r="B31" s="87"/>
      <c r="C31" s="37"/>
      <c r="D31" s="91"/>
      <c r="F31" s="87"/>
      <c r="G31" s="37"/>
      <c r="H31" s="91"/>
      <c r="J31" s="87"/>
      <c r="K31" s="37"/>
      <c r="L31" s="104"/>
    </row>
    <row r="32" spans="2:12" s="39" customFormat="1" ht="18.75" hidden="1" x14ac:dyDescent="0.3">
      <c r="B32" s="87"/>
      <c r="C32" s="37"/>
      <c r="D32" s="91"/>
      <c r="F32" s="87"/>
      <c r="G32" s="37"/>
      <c r="H32" s="91"/>
      <c r="J32" s="87"/>
      <c r="K32" s="37"/>
      <c r="L32" s="104"/>
    </row>
    <row r="33" spans="2:13" s="39" customFormat="1" ht="18.75" hidden="1" x14ac:dyDescent="0.3">
      <c r="B33" s="87"/>
      <c r="C33" s="37"/>
      <c r="D33" s="91"/>
      <c r="F33" s="87"/>
      <c r="G33" s="37"/>
      <c r="H33" s="91"/>
      <c r="J33" s="87"/>
      <c r="K33" s="37"/>
      <c r="L33" s="104"/>
    </row>
    <row r="34" spans="2:13" s="39" customFormat="1" ht="18.75" hidden="1" x14ac:dyDescent="0.3">
      <c r="B34" s="87"/>
      <c r="C34" s="37"/>
      <c r="D34" s="91"/>
      <c r="F34" s="87"/>
      <c r="G34" s="37"/>
      <c r="H34" s="91"/>
      <c r="J34" s="87"/>
      <c r="K34" s="37"/>
      <c r="L34" s="104"/>
    </row>
    <row r="35" spans="2:13" s="39" customFormat="1" ht="18.75" hidden="1" x14ac:dyDescent="0.3">
      <c r="B35" s="87"/>
      <c r="C35" s="37"/>
      <c r="D35" s="91"/>
      <c r="F35" s="87"/>
      <c r="G35" s="37"/>
      <c r="H35" s="91"/>
      <c r="J35" s="87"/>
      <c r="K35" s="37"/>
      <c r="L35" s="104"/>
    </row>
    <row r="36" spans="2:13" s="39" customFormat="1" ht="18.75" hidden="1" x14ac:dyDescent="0.3">
      <c r="B36" s="87"/>
      <c r="C36" s="37"/>
      <c r="D36" s="91"/>
      <c r="F36" s="87"/>
      <c r="G36" s="37"/>
      <c r="H36" s="91"/>
      <c r="J36" s="87"/>
      <c r="K36" s="37"/>
      <c r="L36" s="104"/>
    </row>
    <row r="37" spans="2:13" s="39" customFormat="1" ht="18.75" hidden="1" x14ac:dyDescent="0.3">
      <c r="B37" s="87"/>
      <c r="C37" s="37"/>
      <c r="D37" s="91"/>
      <c r="F37" s="87"/>
      <c r="G37" s="37"/>
      <c r="H37" s="91"/>
      <c r="J37" s="87"/>
      <c r="K37" s="37"/>
      <c r="L37" s="104"/>
    </row>
    <row r="38" spans="2:13" s="39" customFormat="1" ht="18.75" hidden="1" x14ac:dyDescent="0.3">
      <c r="B38" s="87"/>
      <c r="C38" s="37"/>
      <c r="D38" s="91"/>
      <c r="F38" s="87"/>
      <c r="G38" s="37"/>
      <c r="H38" s="91"/>
      <c r="J38" s="87"/>
      <c r="K38" s="37"/>
      <c r="L38" s="104"/>
    </row>
    <row r="39" spans="2:13" s="39" customFormat="1" ht="18.75" x14ac:dyDescent="0.3">
      <c r="B39" s="87"/>
      <c r="C39" s="37"/>
      <c r="D39" s="91"/>
      <c r="F39" s="87"/>
      <c r="G39" s="37"/>
      <c r="H39" s="91"/>
      <c r="J39" s="87"/>
      <c r="K39" s="37"/>
      <c r="L39" s="104"/>
    </row>
    <row r="40" spans="2:13" s="39" customFormat="1" ht="18.75" x14ac:dyDescent="0.3">
      <c r="B40" s="92" t="s">
        <v>36</v>
      </c>
      <c r="C40" s="40">
        <f>COUNT(C5:C12)</f>
        <v>7</v>
      </c>
      <c r="D40" s="91">
        <f>COUNT(D5:D12)</f>
        <v>7</v>
      </c>
      <c r="F40" s="92" t="s">
        <v>36</v>
      </c>
      <c r="G40" s="40">
        <f>COUNT(G5:G12)</f>
        <v>8</v>
      </c>
      <c r="H40" s="91">
        <f>COUNT(H5:H12)</f>
        <v>7</v>
      </c>
      <c r="J40" s="92" t="s">
        <v>36</v>
      </c>
      <c r="K40" s="40">
        <f>COUNT(K5:K12)</f>
        <v>5</v>
      </c>
      <c r="L40" s="286">
        <f>COUNT(L5:L12)</f>
        <v>1</v>
      </c>
    </row>
    <row r="41" spans="2:13" s="39" customFormat="1" ht="18.75" x14ac:dyDescent="0.3">
      <c r="B41" s="92" t="s">
        <v>26</v>
      </c>
      <c r="C41" s="40">
        <f>SUM(C5:C39)</f>
        <v>52.6</v>
      </c>
      <c r="D41" s="91">
        <f>SUM(D5:D39)</f>
        <v>52.900000000000006</v>
      </c>
      <c r="F41" s="92" t="s">
        <v>26</v>
      </c>
      <c r="G41" s="40">
        <f>SUM(G5:G39)</f>
        <v>60</v>
      </c>
      <c r="H41" s="91">
        <f>SUM(H5:H39)</f>
        <v>52.900000000000006</v>
      </c>
      <c r="J41" s="92" t="s">
        <v>26</v>
      </c>
      <c r="K41" s="40">
        <f>SUM(K5:K39)</f>
        <v>18.29</v>
      </c>
      <c r="L41" s="91">
        <f>SUM(L5:L39)</f>
        <v>3.02</v>
      </c>
    </row>
    <row r="42" spans="2:13" s="39" customFormat="1" ht="18.75" x14ac:dyDescent="0.3">
      <c r="B42" s="92" t="s">
        <v>37</v>
      </c>
      <c r="C42" s="93">
        <f>C41/C40</f>
        <v>7.5142857142857142</v>
      </c>
      <c r="D42" s="94">
        <f>D41/D40</f>
        <v>7.5571428571428578</v>
      </c>
      <c r="F42" s="92" t="s">
        <v>37</v>
      </c>
      <c r="G42" s="93">
        <f>G41/G40</f>
        <v>7.5</v>
      </c>
      <c r="H42" s="94">
        <f>H41/H40</f>
        <v>7.5571428571428578</v>
      </c>
      <c r="J42" s="92" t="s">
        <v>37</v>
      </c>
      <c r="K42" s="105">
        <f>K41/K40</f>
        <v>3.6579999999999999</v>
      </c>
      <c r="L42" s="86">
        <f>L41/L40</f>
        <v>3.02</v>
      </c>
    </row>
    <row r="43" spans="2:13" s="39" customFormat="1" ht="18.75" x14ac:dyDescent="0.3">
      <c r="B43" s="92" t="s">
        <v>38</v>
      </c>
      <c r="C43" s="93">
        <f>_xlfn.STDEV.S(C5:C39)</f>
        <v>0.71046597720221949</v>
      </c>
      <c r="D43" s="94">
        <f>_xlfn.STDEV.S(D5:D39)</f>
        <v>0.63994047342218452</v>
      </c>
      <c r="F43" s="92" t="s">
        <v>38</v>
      </c>
      <c r="G43" s="93">
        <f>_xlfn.STDEV.S(G5:G39)</f>
        <v>0.659003576838331</v>
      </c>
      <c r="H43" s="94">
        <f>_xlfn.STDEV.S(H5:H39)</f>
        <v>0.63994047342218452</v>
      </c>
      <c r="J43" s="92" t="s">
        <v>38</v>
      </c>
      <c r="K43" s="105">
        <f>_xlfn.STDEV.S(K5:K39)</f>
        <v>0.3724513391035128</v>
      </c>
      <c r="L43" s="86"/>
    </row>
    <row r="44" spans="2:13" ht="18.75" x14ac:dyDescent="0.3">
      <c r="B44" s="100"/>
      <c r="C44" s="101"/>
      <c r="D44" s="96"/>
      <c r="F44" s="87"/>
      <c r="G44" s="40"/>
      <c r="H44" s="91"/>
      <c r="J44" s="100"/>
      <c r="K44" s="101"/>
      <c r="L44" s="96"/>
    </row>
    <row r="45" spans="2:13" ht="18.75" x14ac:dyDescent="0.3">
      <c r="B45" s="356" t="s">
        <v>39</v>
      </c>
      <c r="C45" s="95">
        <f>(C42-D42) / SQRT((C43^2+D43^2)/((C40+D40)/2))</f>
        <v>-0.11858541225631625</v>
      </c>
      <c r="D45" s="91"/>
      <c r="E45" s="39"/>
      <c r="F45" s="216" t="s">
        <v>244</v>
      </c>
      <c r="G45" s="95">
        <f>(G42-H42) / SQRT((((G40+1)*G43^2 + (H40-1)*H43^2))/(G40+H40-2) * ((G40+H40)/(G40*H40)))</f>
        <v>-0.15778235735354348</v>
      </c>
      <c r="H45" s="91"/>
      <c r="I45" s="39"/>
      <c r="J45" s="356" t="s">
        <v>39</v>
      </c>
      <c r="K45" s="95">
        <f>(K42-L42) / ((K43) * SQRT((K40+1)/K40))</f>
        <v>1.5637254901960789</v>
      </c>
      <c r="L45" s="91"/>
      <c r="M45" s="36"/>
    </row>
    <row r="46" spans="2:13" ht="21.75" thickBot="1" x14ac:dyDescent="0.4">
      <c r="B46" s="102" t="s">
        <v>41</v>
      </c>
      <c r="C46" s="98">
        <f>(C40+D40) - 2</f>
        <v>12</v>
      </c>
      <c r="D46" s="99"/>
      <c r="F46" s="97" t="s">
        <v>24</v>
      </c>
      <c r="G46" s="98">
        <f xml:space="preserve"> G40 + H40 - 2</f>
        <v>13</v>
      </c>
      <c r="H46" s="99"/>
      <c r="J46" s="102" t="s">
        <v>41</v>
      </c>
      <c r="K46" s="98">
        <f>(K40+L40) - 2</f>
        <v>4</v>
      </c>
      <c r="L46" s="99"/>
    </row>
    <row r="47" spans="2:13" x14ac:dyDescent="0.25">
      <c r="J47" s="106"/>
      <c r="K47" s="107"/>
      <c r="L47" s="108"/>
    </row>
    <row r="48" spans="2:13" s="31" customFormat="1" ht="19.5" thickBot="1" x14ac:dyDescent="0.35">
      <c r="B48" s="31" t="s">
        <v>239</v>
      </c>
      <c r="J48" s="88" t="s">
        <v>44</v>
      </c>
      <c r="K48" s="89"/>
      <c r="L48" s="109"/>
      <c r="M48" s="39"/>
    </row>
  </sheetData>
  <mergeCells count="4">
    <mergeCell ref="C3:D3"/>
    <mergeCell ref="G3:H3"/>
    <mergeCell ref="K3:L3"/>
    <mergeCell ref="B1:L1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EF3E6-F524-4914-8D4A-42EB1A8AC826}">
  <sheetPr>
    <tabColor rgb="FF00B0F0"/>
  </sheetPr>
  <dimension ref="A2:I105"/>
  <sheetViews>
    <sheetView workbookViewId="0">
      <pane ySplit="5" topLeftCell="A6" activePane="bottomLeft" state="frozen"/>
      <selection pane="bottomLeft" activeCell="L16" sqref="L16"/>
    </sheetView>
  </sheetViews>
  <sheetFormatPr defaultRowHeight="15" x14ac:dyDescent="0.25"/>
  <cols>
    <col min="1" max="1" width="2.5703125" customWidth="1"/>
    <col min="2" max="2" width="12.5703125" customWidth="1"/>
    <col min="6" max="6" width="8.7109375" style="288"/>
    <col min="8" max="8" width="8.7109375" style="288"/>
  </cols>
  <sheetData>
    <row r="2" spans="1:9" s="31" customFormat="1" ht="19.5" thickBot="1" x14ac:dyDescent="0.35">
      <c r="B2" s="315" t="s">
        <v>237</v>
      </c>
      <c r="C2" s="315"/>
      <c r="D2" s="315"/>
      <c r="E2" s="315"/>
      <c r="F2" s="315"/>
      <c r="G2" s="315"/>
      <c r="H2" s="315"/>
      <c r="I2" s="315"/>
    </row>
    <row r="3" spans="1:9" ht="32.25" thickBot="1" x14ac:dyDescent="0.3">
      <c r="A3" s="287"/>
      <c r="B3" s="289" t="s">
        <v>234</v>
      </c>
      <c r="C3" s="303">
        <v>0.5</v>
      </c>
      <c r="D3" s="290">
        <v>0.8</v>
      </c>
      <c r="E3" s="290">
        <v>0.9</v>
      </c>
      <c r="F3" s="291">
        <v>0.95</v>
      </c>
      <c r="G3" s="290">
        <v>0.98</v>
      </c>
      <c r="H3" s="292">
        <v>0.99</v>
      </c>
    </row>
    <row r="4" spans="1:9" ht="31.5" x14ac:dyDescent="0.25">
      <c r="B4" s="289" t="s">
        <v>235</v>
      </c>
      <c r="C4" s="304">
        <v>0.25</v>
      </c>
      <c r="D4" s="297">
        <v>0.1</v>
      </c>
      <c r="E4" s="297">
        <v>0.05</v>
      </c>
      <c r="F4" s="298">
        <v>2.5000000000000001E-2</v>
      </c>
      <c r="G4" s="297">
        <v>0.01</v>
      </c>
      <c r="H4" s="299">
        <v>5.0000000000000001E-3</v>
      </c>
    </row>
    <row r="5" spans="1:9" ht="32.25" thickBot="1" x14ac:dyDescent="0.3">
      <c r="A5" s="287"/>
      <c r="B5" s="293" t="s">
        <v>236</v>
      </c>
      <c r="C5" s="305">
        <v>0.5</v>
      </c>
      <c r="D5" s="294">
        <v>0.2</v>
      </c>
      <c r="E5" s="294">
        <v>0.1</v>
      </c>
      <c r="F5" s="295">
        <v>0.05</v>
      </c>
      <c r="G5" s="294">
        <v>0.02</v>
      </c>
      <c r="H5" s="296">
        <v>0.01</v>
      </c>
    </row>
    <row r="6" spans="1:9" ht="18.75" x14ac:dyDescent="0.25">
      <c r="A6" s="287"/>
      <c r="B6" s="300" t="s">
        <v>232</v>
      </c>
      <c r="C6" s="353">
        <v>1</v>
      </c>
      <c r="D6" s="353">
        <v>3.0779999999999998</v>
      </c>
      <c r="E6" s="353">
        <v>6.3140000000000001</v>
      </c>
      <c r="F6" s="354">
        <v>12.706</v>
      </c>
      <c r="G6" s="353">
        <v>31.821000000000002</v>
      </c>
      <c r="H6" s="355">
        <v>63.656999999999996</v>
      </c>
    </row>
    <row r="7" spans="1:9" ht="18.75" x14ac:dyDescent="0.25">
      <c r="A7" s="287"/>
      <c r="B7" s="301">
        <v>2</v>
      </c>
      <c r="C7" s="347">
        <v>0.81599999999999995</v>
      </c>
      <c r="D7" s="347">
        <v>1.8859999999999999</v>
      </c>
      <c r="E7" s="347">
        <v>2.92</v>
      </c>
      <c r="F7" s="348">
        <v>4.3029999999999999</v>
      </c>
      <c r="G7" s="347">
        <v>6.9649999999999999</v>
      </c>
      <c r="H7" s="349">
        <v>9.9250000000000007</v>
      </c>
    </row>
    <row r="8" spans="1:9" ht="18.75" x14ac:dyDescent="0.25">
      <c r="A8" s="287"/>
      <c r="B8" s="301">
        <v>3</v>
      </c>
      <c r="C8" s="347">
        <v>0.76500000000000001</v>
      </c>
      <c r="D8" s="347">
        <v>1.6379999999999999</v>
      </c>
      <c r="E8" s="347">
        <v>2.3530000000000002</v>
      </c>
      <c r="F8" s="348">
        <v>3.1819999999999999</v>
      </c>
      <c r="G8" s="347">
        <v>4.5410000000000004</v>
      </c>
      <c r="H8" s="349">
        <v>5.8410000000000002</v>
      </c>
    </row>
    <row r="9" spans="1:9" ht="18.75" x14ac:dyDescent="0.25">
      <c r="A9" s="287"/>
      <c r="B9" s="301">
        <v>4</v>
      </c>
      <c r="C9" s="347">
        <v>0.74099999999999999</v>
      </c>
      <c r="D9" s="347">
        <v>1.5329999999999999</v>
      </c>
      <c r="E9" s="347">
        <v>2.1320000000000001</v>
      </c>
      <c r="F9" s="348">
        <v>2.7759999999999998</v>
      </c>
      <c r="G9" s="347">
        <v>3.7469999999999999</v>
      </c>
      <c r="H9" s="349">
        <v>4.6040000000000001</v>
      </c>
    </row>
    <row r="10" spans="1:9" ht="18.75" x14ac:dyDescent="0.25">
      <c r="A10" s="287"/>
      <c r="B10" s="301">
        <v>5</v>
      </c>
      <c r="C10" s="347">
        <v>0.72699999999999998</v>
      </c>
      <c r="D10" s="347">
        <v>1.476</v>
      </c>
      <c r="E10" s="347">
        <v>2.0150000000000001</v>
      </c>
      <c r="F10" s="348">
        <v>2.5710000000000002</v>
      </c>
      <c r="G10" s="347">
        <v>3.3650000000000002</v>
      </c>
      <c r="H10" s="349">
        <v>4.032</v>
      </c>
    </row>
    <row r="11" spans="1:9" ht="18.75" x14ac:dyDescent="0.25">
      <c r="A11" s="287"/>
      <c r="B11" s="301">
        <v>6</v>
      </c>
      <c r="C11" s="347">
        <v>0.71799999999999997</v>
      </c>
      <c r="D11" s="347">
        <v>1.44</v>
      </c>
      <c r="E11" s="347">
        <v>1.9430000000000001</v>
      </c>
      <c r="F11" s="348">
        <v>2.4470000000000001</v>
      </c>
      <c r="G11" s="347">
        <v>3.1429999999999998</v>
      </c>
      <c r="H11" s="349">
        <v>3.7069999999999999</v>
      </c>
    </row>
    <row r="12" spans="1:9" ht="18.75" x14ac:dyDescent="0.25">
      <c r="A12" s="287"/>
      <c r="B12" s="301">
        <v>7</v>
      </c>
      <c r="C12" s="347">
        <v>0.71099999999999997</v>
      </c>
      <c r="D12" s="347">
        <v>1.415</v>
      </c>
      <c r="E12" s="347">
        <v>1.895</v>
      </c>
      <c r="F12" s="348">
        <v>2.3650000000000002</v>
      </c>
      <c r="G12" s="347">
        <v>2.9980000000000002</v>
      </c>
      <c r="H12" s="349">
        <v>3.4990000000000001</v>
      </c>
    </row>
    <row r="13" spans="1:9" ht="18.75" x14ac:dyDescent="0.25">
      <c r="A13" s="287"/>
      <c r="B13" s="301">
        <v>8</v>
      </c>
      <c r="C13" s="347">
        <v>0.70599999999999996</v>
      </c>
      <c r="D13" s="347">
        <v>1.397</v>
      </c>
      <c r="E13" s="347">
        <v>1.86</v>
      </c>
      <c r="F13" s="348">
        <v>2.306</v>
      </c>
      <c r="G13" s="347">
        <v>2.8959999999999999</v>
      </c>
      <c r="H13" s="349">
        <v>3.355</v>
      </c>
    </row>
    <row r="14" spans="1:9" ht="18.75" x14ac:dyDescent="0.25">
      <c r="A14" s="287"/>
      <c r="B14" s="301">
        <v>9</v>
      </c>
      <c r="C14" s="347">
        <v>0.70299999999999996</v>
      </c>
      <c r="D14" s="347">
        <v>1.383</v>
      </c>
      <c r="E14" s="347">
        <v>1.833</v>
      </c>
      <c r="F14" s="348">
        <v>2.262</v>
      </c>
      <c r="G14" s="347">
        <v>2.8210000000000002</v>
      </c>
      <c r="H14" s="349">
        <v>3.25</v>
      </c>
    </row>
    <row r="15" spans="1:9" ht="18.75" x14ac:dyDescent="0.25">
      <c r="A15" s="287"/>
      <c r="B15" s="301">
        <v>10</v>
      </c>
      <c r="C15" s="347">
        <v>0.7</v>
      </c>
      <c r="D15" s="347">
        <v>1.3720000000000001</v>
      </c>
      <c r="E15" s="347">
        <v>1.8120000000000001</v>
      </c>
      <c r="F15" s="348">
        <v>2.2280000000000002</v>
      </c>
      <c r="G15" s="347">
        <v>2.7639999999999998</v>
      </c>
      <c r="H15" s="349">
        <v>3.169</v>
      </c>
    </row>
    <row r="16" spans="1:9" ht="18.75" x14ac:dyDescent="0.25">
      <c r="A16" s="287"/>
      <c r="B16" s="301">
        <v>11</v>
      </c>
      <c r="C16" s="347">
        <v>0.69699999999999995</v>
      </c>
      <c r="D16" s="347">
        <v>1.363</v>
      </c>
      <c r="E16" s="347">
        <v>1.796</v>
      </c>
      <c r="F16" s="348">
        <v>2.2010000000000001</v>
      </c>
      <c r="G16" s="347">
        <v>2.718</v>
      </c>
      <c r="H16" s="349">
        <v>3.1059999999999999</v>
      </c>
    </row>
    <row r="17" spans="1:8" ht="18.75" x14ac:dyDescent="0.25">
      <c r="A17" s="287"/>
      <c r="B17" s="301">
        <v>12</v>
      </c>
      <c r="C17" s="347">
        <v>0.69499999999999995</v>
      </c>
      <c r="D17" s="347">
        <v>1.3560000000000001</v>
      </c>
      <c r="E17" s="347">
        <v>1.782</v>
      </c>
      <c r="F17" s="348">
        <v>2.1789999999999998</v>
      </c>
      <c r="G17" s="347">
        <v>2.681</v>
      </c>
      <c r="H17" s="349">
        <v>3.0550000000000002</v>
      </c>
    </row>
    <row r="18" spans="1:8" ht="18.75" x14ac:dyDescent="0.25">
      <c r="A18" s="287"/>
      <c r="B18" s="301">
        <v>13</v>
      </c>
      <c r="C18" s="347">
        <v>0.69399999999999995</v>
      </c>
      <c r="D18" s="347">
        <v>1.35</v>
      </c>
      <c r="E18" s="347">
        <v>1.7709999999999999</v>
      </c>
      <c r="F18" s="348">
        <v>2.16</v>
      </c>
      <c r="G18" s="347">
        <v>2.65</v>
      </c>
      <c r="H18" s="349">
        <v>3.012</v>
      </c>
    </row>
    <row r="19" spans="1:8" ht="18.75" x14ac:dyDescent="0.25">
      <c r="A19" s="287"/>
      <c r="B19" s="301">
        <v>14</v>
      </c>
      <c r="C19" s="347">
        <v>0.69199999999999995</v>
      </c>
      <c r="D19" s="347">
        <v>1.345</v>
      </c>
      <c r="E19" s="347">
        <v>1.7609999999999999</v>
      </c>
      <c r="F19" s="348">
        <v>2.145</v>
      </c>
      <c r="G19" s="347">
        <v>2.6240000000000001</v>
      </c>
      <c r="H19" s="349">
        <v>2.9769999999999999</v>
      </c>
    </row>
    <row r="20" spans="1:8" ht="18.75" x14ac:dyDescent="0.25">
      <c r="A20" s="287"/>
      <c r="B20" s="301">
        <v>15</v>
      </c>
      <c r="C20" s="347">
        <v>0.69099999999999995</v>
      </c>
      <c r="D20" s="347">
        <v>1.341</v>
      </c>
      <c r="E20" s="347">
        <v>1.7529999999999999</v>
      </c>
      <c r="F20" s="348">
        <v>2.1309999999999998</v>
      </c>
      <c r="G20" s="347">
        <v>2.6019999999999999</v>
      </c>
      <c r="H20" s="349">
        <v>2.9470000000000001</v>
      </c>
    </row>
    <row r="21" spans="1:8" ht="18.75" x14ac:dyDescent="0.25">
      <c r="A21" s="287"/>
      <c r="B21" s="301">
        <v>16</v>
      </c>
      <c r="C21" s="347">
        <v>0.69</v>
      </c>
      <c r="D21" s="347">
        <v>1.337</v>
      </c>
      <c r="E21" s="347">
        <v>1.746</v>
      </c>
      <c r="F21" s="348">
        <v>2.12</v>
      </c>
      <c r="G21" s="347">
        <v>2.5830000000000002</v>
      </c>
      <c r="H21" s="349">
        <v>2.9209999999999998</v>
      </c>
    </row>
    <row r="22" spans="1:8" ht="18.75" x14ac:dyDescent="0.25">
      <c r="A22" s="287"/>
      <c r="B22" s="301">
        <v>17</v>
      </c>
      <c r="C22" s="347">
        <v>0.68899999999999995</v>
      </c>
      <c r="D22" s="347">
        <v>1.333</v>
      </c>
      <c r="E22" s="347">
        <v>1.74</v>
      </c>
      <c r="F22" s="348">
        <v>2.11</v>
      </c>
      <c r="G22" s="347">
        <v>2.5670000000000002</v>
      </c>
      <c r="H22" s="349">
        <v>2.8980000000000001</v>
      </c>
    </row>
    <row r="23" spans="1:8" ht="18.75" x14ac:dyDescent="0.25">
      <c r="A23" s="287"/>
      <c r="B23" s="301">
        <v>18</v>
      </c>
      <c r="C23" s="347">
        <v>0.68799999999999994</v>
      </c>
      <c r="D23" s="347">
        <v>1.33</v>
      </c>
      <c r="E23" s="347">
        <v>1.734</v>
      </c>
      <c r="F23" s="348">
        <v>2.101</v>
      </c>
      <c r="G23" s="347">
        <v>2.552</v>
      </c>
      <c r="H23" s="349">
        <v>2.8780000000000001</v>
      </c>
    </row>
    <row r="24" spans="1:8" ht="18.75" x14ac:dyDescent="0.25">
      <c r="A24" s="287"/>
      <c r="B24" s="301">
        <v>19</v>
      </c>
      <c r="C24" s="347">
        <v>0.68799999999999994</v>
      </c>
      <c r="D24" s="347">
        <v>1.3280000000000001</v>
      </c>
      <c r="E24" s="347">
        <v>1.7290000000000001</v>
      </c>
      <c r="F24" s="348">
        <v>2.093</v>
      </c>
      <c r="G24" s="347">
        <v>2.5390000000000001</v>
      </c>
      <c r="H24" s="349">
        <v>2.8610000000000002</v>
      </c>
    </row>
    <row r="25" spans="1:8" ht="18.75" x14ac:dyDescent="0.25">
      <c r="A25" s="287"/>
      <c r="B25" s="301">
        <v>20</v>
      </c>
      <c r="C25" s="347">
        <v>0.68700000000000006</v>
      </c>
      <c r="D25" s="347">
        <v>1.325</v>
      </c>
      <c r="E25" s="347">
        <v>1.7250000000000001</v>
      </c>
      <c r="F25" s="348">
        <v>2.0859999999999999</v>
      </c>
      <c r="G25" s="347">
        <v>2.528</v>
      </c>
      <c r="H25" s="349">
        <v>2.8450000000000002</v>
      </c>
    </row>
    <row r="26" spans="1:8" ht="18.75" x14ac:dyDescent="0.25">
      <c r="A26" s="287"/>
      <c r="B26" s="301">
        <v>21</v>
      </c>
      <c r="C26" s="347">
        <v>0.68600000000000005</v>
      </c>
      <c r="D26" s="347">
        <v>1.323</v>
      </c>
      <c r="E26" s="347">
        <v>1.7210000000000001</v>
      </c>
      <c r="F26" s="348">
        <v>2.08</v>
      </c>
      <c r="G26" s="347">
        <v>2.5179999999999998</v>
      </c>
      <c r="H26" s="349">
        <v>2.831</v>
      </c>
    </row>
    <row r="27" spans="1:8" ht="18.75" x14ac:dyDescent="0.25">
      <c r="A27" s="287"/>
      <c r="B27" s="301">
        <v>22</v>
      </c>
      <c r="C27" s="347">
        <v>0.68600000000000005</v>
      </c>
      <c r="D27" s="347">
        <v>1.321</v>
      </c>
      <c r="E27" s="347">
        <v>1.7170000000000001</v>
      </c>
      <c r="F27" s="348">
        <v>2.0739999999999998</v>
      </c>
      <c r="G27" s="347">
        <v>2.508</v>
      </c>
      <c r="H27" s="349">
        <v>2.819</v>
      </c>
    </row>
    <row r="28" spans="1:8" ht="18.75" x14ac:dyDescent="0.25">
      <c r="A28" s="287"/>
      <c r="B28" s="301">
        <v>23</v>
      </c>
      <c r="C28" s="347">
        <v>0.68500000000000005</v>
      </c>
      <c r="D28" s="347">
        <v>1.319</v>
      </c>
      <c r="E28" s="347">
        <v>1.714</v>
      </c>
      <c r="F28" s="348">
        <v>2.069</v>
      </c>
      <c r="G28" s="347">
        <v>2.5</v>
      </c>
      <c r="H28" s="349">
        <v>2.8069999999999999</v>
      </c>
    </row>
    <row r="29" spans="1:8" ht="18.75" x14ac:dyDescent="0.25">
      <c r="A29" s="287"/>
      <c r="B29" s="301">
        <v>24</v>
      </c>
      <c r="C29" s="347">
        <v>0.68500000000000005</v>
      </c>
      <c r="D29" s="347">
        <v>1.3180000000000001</v>
      </c>
      <c r="E29" s="347">
        <v>1.7110000000000001</v>
      </c>
      <c r="F29" s="348">
        <v>2.0640000000000001</v>
      </c>
      <c r="G29" s="347">
        <v>2.492</v>
      </c>
      <c r="H29" s="349">
        <v>2.7970000000000002</v>
      </c>
    </row>
    <row r="30" spans="1:8" ht="18.75" x14ac:dyDescent="0.25">
      <c r="A30" s="287"/>
      <c r="B30" s="301">
        <v>25</v>
      </c>
      <c r="C30" s="347">
        <v>0.68400000000000005</v>
      </c>
      <c r="D30" s="347">
        <v>1.3160000000000001</v>
      </c>
      <c r="E30" s="347">
        <v>1.708</v>
      </c>
      <c r="F30" s="348">
        <v>2.06</v>
      </c>
      <c r="G30" s="347">
        <v>2.4849999999999999</v>
      </c>
      <c r="H30" s="349">
        <v>2.7869999999999999</v>
      </c>
    </row>
    <row r="31" spans="1:8" ht="18.75" x14ac:dyDescent="0.25">
      <c r="A31" s="287"/>
      <c r="B31" s="301">
        <v>26</v>
      </c>
      <c r="C31" s="347">
        <v>0.68400000000000005</v>
      </c>
      <c r="D31" s="347">
        <v>1.3149999999999999</v>
      </c>
      <c r="E31" s="347">
        <v>1.706</v>
      </c>
      <c r="F31" s="348">
        <v>2.056</v>
      </c>
      <c r="G31" s="347">
        <v>2.4790000000000001</v>
      </c>
      <c r="H31" s="349">
        <v>2.7789999999999999</v>
      </c>
    </row>
    <row r="32" spans="1:8" ht="18.75" x14ac:dyDescent="0.25">
      <c r="A32" s="287"/>
      <c r="B32" s="301">
        <v>27</v>
      </c>
      <c r="C32" s="347">
        <v>0.68400000000000005</v>
      </c>
      <c r="D32" s="347">
        <v>1.3140000000000001</v>
      </c>
      <c r="E32" s="347">
        <v>1.7030000000000001</v>
      </c>
      <c r="F32" s="348">
        <v>2.052</v>
      </c>
      <c r="G32" s="347">
        <v>2.4729999999999999</v>
      </c>
      <c r="H32" s="349">
        <v>2.7709999999999999</v>
      </c>
    </row>
    <row r="33" spans="1:8" ht="18.75" x14ac:dyDescent="0.25">
      <c r="A33" s="287"/>
      <c r="B33" s="301">
        <v>28</v>
      </c>
      <c r="C33" s="347">
        <v>0.68300000000000005</v>
      </c>
      <c r="D33" s="347">
        <v>1.3129999999999999</v>
      </c>
      <c r="E33" s="347">
        <v>1.7010000000000001</v>
      </c>
      <c r="F33" s="348">
        <v>2.048</v>
      </c>
      <c r="G33" s="347">
        <v>2.4670000000000001</v>
      </c>
      <c r="H33" s="349">
        <v>2.7629999999999999</v>
      </c>
    </row>
    <row r="34" spans="1:8" ht="18.75" x14ac:dyDescent="0.25">
      <c r="A34" s="287"/>
      <c r="B34" s="301">
        <v>29</v>
      </c>
      <c r="C34" s="347">
        <v>0.68300000000000005</v>
      </c>
      <c r="D34" s="347">
        <v>1.3109999999999999</v>
      </c>
      <c r="E34" s="347">
        <v>1.6990000000000001</v>
      </c>
      <c r="F34" s="348">
        <v>2.0449999999999999</v>
      </c>
      <c r="G34" s="347">
        <v>2.4620000000000002</v>
      </c>
      <c r="H34" s="349">
        <v>2.7559999999999998</v>
      </c>
    </row>
    <row r="35" spans="1:8" ht="18.75" x14ac:dyDescent="0.25">
      <c r="A35" s="287"/>
      <c r="B35" s="301">
        <v>30</v>
      </c>
      <c r="C35" s="347">
        <v>0.68300000000000005</v>
      </c>
      <c r="D35" s="347">
        <v>1.31</v>
      </c>
      <c r="E35" s="347">
        <v>1.6970000000000001</v>
      </c>
      <c r="F35" s="348">
        <v>2.0419999999999998</v>
      </c>
      <c r="G35" s="347">
        <v>2.4569999999999999</v>
      </c>
      <c r="H35" s="349">
        <v>2.75</v>
      </c>
    </row>
    <row r="36" spans="1:8" ht="18.75" x14ac:dyDescent="0.25">
      <c r="A36" s="287"/>
      <c r="B36" s="301">
        <v>40</v>
      </c>
      <c r="C36" s="347">
        <v>0.68100000000000005</v>
      </c>
      <c r="D36" s="347">
        <v>1.3029999999999999</v>
      </c>
      <c r="E36" s="347">
        <v>1.6839999999999999</v>
      </c>
      <c r="F36" s="348">
        <v>2.0209999999999999</v>
      </c>
      <c r="G36" s="347">
        <v>2.423</v>
      </c>
      <c r="H36" s="349">
        <v>2.7040000000000002</v>
      </c>
    </row>
    <row r="37" spans="1:8" ht="18.75" x14ac:dyDescent="0.25">
      <c r="A37" s="287"/>
      <c r="B37" s="301">
        <v>50</v>
      </c>
      <c r="C37" s="347">
        <v>0.67900000000000005</v>
      </c>
      <c r="D37" s="347">
        <v>1.2989999999999999</v>
      </c>
      <c r="E37" s="347">
        <v>1.6759999999999999</v>
      </c>
      <c r="F37" s="348">
        <v>2.0089999999999999</v>
      </c>
      <c r="G37" s="347">
        <v>2.403</v>
      </c>
      <c r="H37" s="349">
        <v>2.6779999999999999</v>
      </c>
    </row>
    <row r="38" spans="1:8" ht="18.75" x14ac:dyDescent="0.25">
      <c r="A38" s="287"/>
      <c r="B38" s="301">
        <v>60</v>
      </c>
      <c r="C38" s="347">
        <v>0.67900000000000005</v>
      </c>
      <c r="D38" s="347">
        <v>1.296</v>
      </c>
      <c r="E38" s="347">
        <v>1.671</v>
      </c>
      <c r="F38" s="348">
        <v>2</v>
      </c>
      <c r="G38" s="347">
        <v>2.39</v>
      </c>
      <c r="H38" s="349">
        <v>2.66</v>
      </c>
    </row>
    <row r="39" spans="1:8" ht="18.75" x14ac:dyDescent="0.25">
      <c r="A39" s="287"/>
      <c r="B39" s="301">
        <v>70</v>
      </c>
      <c r="C39" s="347">
        <v>0.67800000000000005</v>
      </c>
      <c r="D39" s="347">
        <v>1.294</v>
      </c>
      <c r="E39" s="347">
        <v>1.667</v>
      </c>
      <c r="F39" s="348">
        <v>1.994</v>
      </c>
      <c r="G39" s="347">
        <v>2.3809999999999998</v>
      </c>
      <c r="H39" s="349">
        <v>2.6480000000000001</v>
      </c>
    </row>
    <row r="40" spans="1:8" ht="18.75" x14ac:dyDescent="0.25">
      <c r="A40" s="287"/>
      <c r="B40" s="301">
        <v>80</v>
      </c>
      <c r="C40" s="347">
        <v>0.67800000000000005</v>
      </c>
      <c r="D40" s="347">
        <v>1.292</v>
      </c>
      <c r="E40" s="347">
        <v>1.6639999999999999</v>
      </c>
      <c r="F40" s="348">
        <v>1.99</v>
      </c>
      <c r="G40" s="347">
        <v>2.3740000000000001</v>
      </c>
      <c r="H40" s="349">
        <v>2.6389999999999998</v>
      </c>
    </row>
    <row r="41" spans="1:8" ht="18.75" x14ac:dyDescent="0.25">
      <c r="A41" s="287"/>
      <c r="B41" s="301">
        <v>90</v>
      </c>
      <c r="C41" s="347">
        <v>0.67700000000000005</v>
      </c>
      <c r="D41" s="347">
        <v>1.2909999999999999</v>
      </c>
      <c r="E41" s="347">
        <v>1.6619999999999999</v>
      </c>
      <c r="F41" s="348">
        <v>1.9870000000000001</v>
      </c>
      <c r="G41" s="347">
        <v>2.3679999999999999</v>
      </c>
      <c r="H41" s="349">
        <v>2.6320000000000001</v>
      </c>
    </row>
    <row r="42" spans="1:8" ht="18.75" x14ac:dyDescent="0.25">
      <c r="A42" s="287"/>
      <c r="B42" s="301">
        <v>100</v>
      </c>
      <c r="C42" s="347">
        <v>0.67700000000000005</v>
      </c>
      <c r="D42" s="347">
        <v>1.29</v>
      </c>
      <c r="E42" s="347">
        <v>1.66</v>
      </c>
      <c r="F42" s="348">
        <v>1.984</v>
      </c>
      <c r="G42" s="347">
        <v>2.3639999999999999</v>
      </c>
      <c r="H42" s="349">
        <v>2.6259999999999999</v>
      </c>
    </row>
    <row r="43" spans="1:8" ht="19.5" thickBot="1" x14ac:dyDescent="0.3">
      <c r="A43" s="287"/>
      <c r="B43" s="302" t="s">
        <v>233</v>
      </c>
      <c r="C43" s="350">
        <v>0.67400000000000004</v>
      </c>
      <c r="D43" s="350">
        <v>1.282</v>
      </c>
      <c r="E43" s="350">
        <v>1.645</v>
      </c>
      <c r="F43" s="351">
        <v>1.96</v>
      </c>
      <c r="G43" s="350">
        <v>2.3260000000000001</v>
      </c>
      <c r="H43" s="352">
        <v>2.5760000000000001</v>
      </c>
    </row>
    <row r="44" spans="1:8" x14ac:dyDescent="0.25">
      <c r="A44" s="287"/>
    </row>
    <row r="45" spans="1:8" x14ac:dyDescent="0.25">
      <c r="A45" s="287"/>
    </row>
    <row r="46" spans="1:8" x14ac:dyDescent="0.25">
      <c r="A46" s="287"/>
    </row>
    <row r="47" spans="1:8" x14ac:dyDescent="0.25">
      <c r="A47" s="287"/>
    </row>
    <row r="48" spans="1:8" x14ac:dyDescent="0.25">
      <c r="A48" s="287"/>
    </row>
    <row r="49" spans="1:1" x14ac:dyDescent="0.25">
      <c r="A49" s="287"/>
    </row>
    <row r="50" spans="1:1" x14ac:dyDescent="0.25">
      <c r="A50" s="287"/>
    </row>
    <row r="51" spans="1:1" x14ac:dyDescent="0.25">
      <c r="A51" s="287"/>
    </row>
    <row r="52" spans="1:1" x14ac:dyDescent="0.25">
      <c r="A52" s="287"/>
    </row>
    <row r="53" spans="1:1" x14ac:dyDescent="0.25">
      <c r="A53" s="287"/>
    </row>
    <row r="54" spans="1:1" x14ac:dyDescent="0.25">
      <c r="A54" s="287"/>
    </row>
    <row r="55" spans="1:1" x14ac:dyDescent="0.25">
      <c r="A55" s="287"/>
    </row>
    <row r="56" spans="1:1" x14ac:dyDescent="0.25">
      <c r="A56" s="287"/>
    </row>
    <row r="57" spans="1:1" x14ac:dyDescent="0.25">
      <c r="A57" s="287"/>
    </row>
    <row r="58" spans="1:1" x14ac:dyDescent="0.25">
      <c r="A58" s="287"/>
    </row>
    <row r="59" spans="1:1" x14ac:dyDescent="0.25">
      <c r="A59" s="287"/>
    </row>
    <row r="60" spans="1:1" x14ac:dyDescent="0.25">
      <c r="A60" s="287"/>
    </row>
    <row r="61" spans="1:1" x14ac:dyDescent="0.25">
      <c r="A61" s="287"/>
    </row>
    <row r="62" spans="1:1" x14ac:dyDescent="0.25">
      <c r="A62" s="287"/>
    </row>
    <row r="63" spans="1:1" x14ac:dyDescent="0.25">
      <c r="A63" s="287"/>
    </row>
    <row r="64" spans="1:1" x14ac:dyDescent="0.25">
      <c r="A64" s="287"/>
    </row>
    <row r="65" spans="1:1" x14ac:dyDescent="0.25">
      <c r="A65" s="287"/>
    </row>
    <row r="66" spans="1:1" x14ac:dyDescent="0.25">
      <c r="A66" s="287"/>
    </row>
    <row r="67" spans="1:1" x14ac:dyDescent="0.25">
      <c r="A67" s="287"/>
    </row>
    <row r="68" spans="1:1" x14ac:dyDescent="0.25">
      <c r="A68" s="287"/>
    </row>
    <row r="69" spans="1:1" x14ac:dyDescent="0.25">
      <c r="A69" s="287"/>
    </row>
    <row r="70" spans="1:1" x14ac:dyDescent="0.25">
      <c r="A70" s="287"/>
    </row>
    <row r="71" spans="1:1" x14ac:dyDescent="0.25">
      <c r="A71" s="287"/>
    </row>
    <row r="72" spans="1:1" x14ac:dyDescent="0.25">
      <c r="A72" s="287"/>
    </row>
    <row r="73" spans="1:1" x14ac:dyDescent="0.25">
      <c r="A73" s="287"/>
    </row>
    <row r="74" spans="1:1" x14ac:dyDescent="0.25">
      <c r="A74" s="287"/>
    </row>
    <row r="75" spans="1:1" x14ac:dyDescent="0.25">
      <c r="A75" s="287"/>
    </row>
    <row r="76" spans="1:1" x14ac:dyDescent="0.25">
      <c r="A76" s="287"/>
    </row>
    <row r="77" spans="1:1" x14ac:dyDescent="0.25">
      <c r="A77" s="287"/>
    </row>
    <row r="78" spans="1:1" x14ac:dyDescent="0.25">
      <c r="A78" s="287"/>
    </row>
    <row r="79" spans="1:1" x14ac:dyDescent="0.25">
      <c r="A79" s="287"/>
    </row>
    <row r="80" spans="1:1" x14ac:dyDescent="0.25">
      <c r="A80" s="287"/>
    </row>
    <row r="81" spans="1:1" x14ac:dyDescent="0.25">
      <c r="A81" s="287"/>
    </row>
    <row r="82" spans="1:1" x14ac:dyDescent="0.25">
      <c r="A82" s="287"/>
    </row>
    <row r="83" spans="1:1" x14ac:dyDescent="0.25">
      <c r="A83" s="287"/>
    </row>
    <row r="84" spans="1:1" x14ac:dyDescent="0.25">
      <c r="A84" s="287"/>
    </row>
    <row r="85" spans="1:1" x14ac:dyDescent="0.25">
      <c r="A85" s="287"/>
    </row>
    <row r="86" spans="1:1" x14ac:dyDescent="0.25">
      <c r="A86" s="287"/>
    </row>
    <row r="87" spans="1:1" x14ac:dyDescent="0.25">
      <c r="A87" s="287"/>
    </row>
    <row r="88" spans="1:1" x14ac:dyDescent="0.25">
      <c r="A88" s="287"/>
    </row>
    <row r="89" spans="1:1" x14ac:dyDescent="0.25">
      <c r="A89" s="287"/>
    </row>
    <row r="90" spans="1:1" x14ac:dyDescent="0.25">
      <c r="A90" s="287"/>
    </row>
    <row r="91" spans="1:1" x14ac:dyDescent="0.25">
      <c r="A91" s="287"/>
    </row>
    <row r="92" spans="1:1" x14ac:dyDescent="0.25">
      <c r="A92" s="287"/>
    </row>
    <row r="93" spans="1:1" x14ac:dyDescent="0.25">
      <c r="A93" s="287"/>
    </row>
    <row r="94" spans="1:1" x14ac:dyDescent="0.25">
      <c r="A94" s="287"/>
    </row>
    <row r="95" spans="1:1" x14ac:dyDescent="0.25">
      <c r="A95" s="287"/>
    </row>
    <row r="96" spans="1:1" x14ac:dyDescent="0.25">
      <c r="A96" s="287"/>
    </row>
    <row r="97" spans="1:1" x14ac:dyDescent="0.25">
      <c r="A97" s="287"/>
    </row>
    <row r="98" spans="1:1" x14ac:dyDescent="0.25">
      <c r="A98" s="287"/>
    </row>
    <row r="99" spans="1:1" x14ac:dyDescent="0.25">
      <c r="A99" s="287"/>
    </row>
    <row r="100" spans="1:1" x14ac:dyDescent="0.25">
      <c r="A100" s="287"/>
    </row>
    <row r="101" spans="1:1" x14ac:dyDescent="0.25">
      <c r="A101" s="287"/>
    </row>
    <row r="102" spans="1:1" x14ac:dyDescent="0.25">
      <c r="A102" s="287"/>
    </row>
    <row r="103" spans="1:1" x14ac:dyDescent="0.25">
      <c r="A103" s="287"/>
    </row>
    <row r="104" spans="1:1" x14ac:dyDescent="0.25">
      <c r="A104" s="287"/>
    </row>
    <row r="105" spans="1:1" x14ac:dyDescent="0.25">
      <c r="A105" s="287"/>
    </row>
  </sheetData>
  <mergeCells count="1">
    <mergeCell ref="B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68C2D-889E-4C95-8793-42CF84AF0FAC}">
  <sheetPr>
    <tabColor rgb="FFFF40FF"/>
  </sheetPr>
  <dimension ref="B1:K58"/>
  <sheetViews>
    <sheetView workbookViewId="0">
      <pane ySplit="2" topLeftCell="A3" activePane="bottomLeft" state="frozen"/>
      <selection pane="bottomLeft" activeCell="D62" sqref="D62"/>
    </sheetView>
  </sheetViews>
  <sheetFormatPr defaultRowHeight="15" x14ac:dyDescent="0.25"/>
  <cols>
    <col min="1" max="1" width="2.5703125" customWidth="1"/>
    <col min="2" max="6" width="12.5703125" customWidth="1"/>
    <col min="9" max="11" width="15.5703125" customWidth="1"/>
  </cols>
  <sheetData>
    <row r="1" spans="2:11" x14ac:dyDescent="0.25">
      <c r="B1" s="1" t="s">
        <v>0</v>
      </c>
      <c r="C1" s="2"/>
      <c r="D1" s="2"/>
      <c r="E1" s="2"/>
      <c r="F1" s="2"/>
      <c r="G1" s="2"/>
      <c r="H1" s="2"/>
      <c r="I1" s="2"/>
    </row>
    <row r="2" spans="2:11" s="3" customFormat="1" ht="21" x14ac:dyDescent="0.35">
      <c r="B2" s="309" t="s">
        <v>159</v>
      </c>
      <c r="C2" s="309"/>
      <c r="D2" s="309"/>
      <c r="E2" s="309"/>
      <c r="F2" s="309"/>
      <c r="G2" s="309"/>
      <c r="H2" s="309"/>
      <c r="I2" s="309"/>
      <c r="J2" s="33"/>
      <c r="K2" s="33"/>
    </row>
    <row r="3" spans="2:11" s="3" customFormat="1" ht="21.75" thickBot="1" x14ac:dyDescent="0.4"/>
    <row r="4" spans="2:11" s="39" customFormat="1" ht="19.5" thickBot="1" x14ac:dyDescent="0.35">
      <c r="C4" s="5" t="s">
        <v>1</v>
      </c>
      <c r="D4" s="6" t="s">
        <v>2</v>
      </c>
      <c r="E4" s="7" t="s">
        <v>3</v>
      </c>
      <c r="F4" s="8" t="s">
        <v>4</v>
      </c>
    </row>
    <row r="5" spans="2:11" s="39" customFormat="1" ht="18.75" x14ac:dyDescent="0.3">
      <c r="C5" s="34">
        <v>7.2</v>
      </c>
      <c r="D5" s="35">
        <v>8.8000000000000007</v>
      </c>
      <c r="E5" s="39">
        <f>C5^2</f>
        <v>51.84</v>
      </c>
      <c r="F5" s="39">
        <f>D5^2</f>
        <v>77.440000000000012</v>
      </c>
    </row>
    <row r="6" spans="2:11" s="39" customFormat="1" ht="18.75" x14ac:dyDescent="0.3">
      <c r="C6" s="37">
        <v>7.1</v>
      </c>
      <c r="D6" s="38">
        <v>7.5</v>
      </c>
      <c r="E6" s="39">
        <f t="shared" ref="E6:F11" si="0">C6^2</f>
        <v>50.41</v>
      </c>
      <c r="F6" s="39">
        <f t="shared" si="0"/>
        <v>56.25</v>
      </c>
    </row>
    <row r="7" spans="2:11" s="39" customFormat="1" ht="18.75" x14ac:dyDescent="0.3">
      <c r="C7" s="37">
        <v>9.1</v>
      </c>
      <c r="D7" s="38">
        <v>7.7</v>
      </c>
      <c r="E7" s="39">
        <f t="shared" si="0"/>
        <v>82.809999999999988</v>
      </c>
      <c r="F7" s="39">
        <f t="shared" si="0"/>
        <v>59.290000000000006</v>
      </c>
    </row>
    <row r="8" spans="2:11" s="39" customFormat="1" ht="18.75" x14ac:dyDescent="0.3">
      <c r="C8" s="37">
        <v>7.2</v>
      </c>
      <c r="D8" s="38">
        <v>7.6</v>
      </c>
      <c r="E8" s="39">
        <f t="shared" si="0"/>
        <v>51.84</v>
      </c>
      <c r="F8" s="39">
        <f t="shared" si="0"/>
        <v>57.76</v>
      </c>
    </row>
    <row r="9" spans="2:11" s="39" customFormat="1" ht="18.75" x14ac:dyDescent="0.3">
      <c r="C9" s="37">
        <v>7.3</v>
      </c>
      <c r="D9" s="38">
        <v>7.4</v>
      </c>
      <c r="E9" s="39">
        <f t="shared" si="0"/>
        <v>53.29</v>
      </c>
      <c r="F9" s="39">
        <f t="shared" si="0"/>
        <v>54.760000000000005</v>
      </c>
    </row>
    <row r="10" spans="2:11" s="39" customFormat="1" ht="18.75" x14ac:dyDescent="0.3">
      <c r="C10" s="37">
        <v>7.2</v>
      </c>
      <c r="D10" s="38">
        <v>6.7</v>
      </c>
      <c r="E10" s="39">
        <f t="shared" si="0"/>
        <v>51.84</v>
      </c>
      <c r="F10" s="39">
        <f t="shared" si="0"/>
        <v>44.89</v>
      </c>
    </row>
    <row r="11" spans="2:11" s="39" customFormat="1" ht="18.75" x14ac:dyDescent="0.3">
      <c r="C11" s="37">
        <v>7.5</v>
      </c>
      <c r="D11" s="38">
        <v>7.2</v>
      </c>
      <c r="E11" s="39">
        <f t="shared" si="0"/>
        <v>56.25</v>
      </c>
      <c r="F11" s="39">
        <f t="shared" si="0"/>
        <v>51.84</v>
      </c>
    </row>
    <row r="12" spans="2:11" s="39" customFormat="1" ht="18.75" x14ac:dyDescent="0.3">
      <c r="C12" s="37"/>
      <c r="D12" s="38"/>
    </row>
    <row r="13" spans="2:11" s="39" customFormat="1" ht="18.75" hidden="1" x14ac:dyDescent="0.3">
      <c r="C13" s="37"/>
      <c r="D13" s="38"/>
    </row>
    <row r="14" spans="2:11" s="39" customFormat="1" ht="18.75" hidden="1" x14ac:dyDescent="0.3">
      <c r="C14" s="37"/>
      <c r="D14" s="38"/>
    </row>
    <row r="15" spans="2:11" s="39" customFormat="1" ht="18.75" hidden="1" x14ac:dyDescent="0.3">
      <c r="C15" s="37"/>
      <c r="D15" s="38"/>
    </row>
    <row r="16" spans="2:11" s="39" customFormat="1" ht="18.75" hidden="1" x14ac:dyDescent="0.3">
      <c r="C16" s="37"/>
      <c r="D16" s="38"/>
    </row>
    <row r="17" spans="3:4" s="39" customFormat="1" ht="18.75" hidden="1" x14ac:dyDescent="0.3">
      <c r="C17" s="37"/>
      <c r="D17" s="38"/>
    </row>
    <row r="18" spans="3:4" s="39" customFormat="1" ht="18.75" hidden="1" x14ac:dyDescent="0.3">
      <c r="C18" s="37"/>
      <c r="D18" s="38"/>
    </row>
    <row r="19" spans="3:4" s="39" customFormat="1" ht="18.75" hidden="1" x14ac:dyDescent="0.3">
      <c r="C19" s="37"/>
      <c r="D19" s="38"/>
    </row>
    <row r="20" spans="3:4" s="39" customFormat="1" ht="18.75" hidden="1" x14ac:dyDescent="0.3">
      <c r="C20" s="37"/>
      <c r="D20" s="38"/>
    </row>
    <row r="21" spans="3:4" s="39" customFormat="1" ht="18.75" hidden="1" x14ac:dyDescent="0.3">
      <c r="C21" s="37"/>
      <c r="D21" s="38"/>
    </row>
    <row r="22" spans="3:4" s="39" customFormat="1" ht="18.75" hidden="1" x14ac:dyDescent="0.3">
      <c r="C22" s="37"/>
      <c r="D22" s="38"/>
    </row>
    <row r="23" spans="3:4" s="39" customFormat="1" ht="18.75" hidden="1" x14ac:dyDescent="0.3">
      <c r="C23" s="37"/>
      <c r="D23" s="38"/>
    </row>
    <row r="24" spans="3:4" s="39" customFormat="1" ht="18.75" hidden="1" x14ac:dyDescent="0.3">
      <c r="C24" s="37"/>
      <c r="D24" s="38"/>
    </row>
    <row r="25" spans="3:4" s="39" customFormat="1" ht="18.75" hidden="1" x14ac:dyDescent="0.3">
      <c r="C25" s="37"/>
      <c r="D25" s="38"/>
    </row>
    <row r="26" spans="3:4" s="39" customFormat="1" ht="18.75" hidden="1" x14ac:dyDescent="0.3">
      <c r="C26" s="37"/>
      <c r="D26" s="38"/>
    </row>
    <row r="27" spans="3:4" s="39" customFormat="1" ht="18.75" hidden="1" x14ac:dyDescent="0.3">
      <c r="C27" s="37"/>
      <c r="D27" s="38"/>
    </row>
    <row r="28" spans="3:4" s="39" customFormat="1" ht="18.75" hidden="1" x14ac:dyDescent="0.3">
      <c r="C28" s="37"/>
      <c r="D28" s="38"/>
    </row>
    <row r="29" spans="3:4" s="39" customFormat="1" ht="18.75" hidden="1" x14ac:dyDescent="0.3">
      <c r="C29" s="37"/>
      <c r="D29" s="38"/>
    </row>
    <row r="30" spans="3:4" s="39" customFormat="1" ht="18.75" hidden="1" x14ac:dyDescent="0.3">
      <c r="C30" s="37"/>
      <c r="D30" s="38"/>
    </row>
    <row r="31" spans="3:4" s="39" customFormat="1" ht="18.75" hidden="1" x14ac:dyDescent="0.3">
      <c r="C31" s="37"/>
      <c r="D31" s="38"/>
    </row>
    <row r="32" spans="3:4" s="39" customFormat="1" ht="18.75" hidden="1" x14ac:dyDescent="0.3">
      <c r="C32" s="37"/>
      <c r="D32" s="38"/>
    </row>
    <row r="33" spans="2:11" s="39" customFormat="1" ht="18.75" hidden="1" x14ac:dyDescent="0.3">
      <c r="C33" s="37"/>
      <c r="D33" s="38"/>
    </row>
    <row r="34" spans="2:11" s="39" customFormat="1" ht="18.75" hidden="1" x14ac:dyDescent="0.3">
      <c r="C34" s="37"/>
      <c r="D34" s="38"/>
    </row>
    <row r="35" spans="2:11" s="39" customFormat="1" ht="18.75" hidden="1" x14ac:dyDescent="0.3">
      <c r="C35" s="37"/>
      <c r="D35" s="38"/>
    </row>
    <row r="36" spans="2:11" s="39" customFormat="1" ht="18.75" hidden="1" x14ac:dyDescent="0.3">
      <c r="C36" s="37"/>
      <c r="D36" s="38"/>
    </row>
    <row r="37" spans="2:11" s="39" customFormat="1" ht="18.75" hidden="1" x14ac:dyDescent="0.3">
      <c r="C37" s="37"/>
      <c r="D37" s="38"/>
    </row>
    <row r="38" spans="2:11" s="39" customFormat="1" ht="18.75" hidden="1" x14ac:dyDescent="0.3">
      <c r="C38" s="37"/>
      <c r="D38" s="38"/>
    </row>
    <row r="39" spans="2:11" s="39" customFormat="1" ht="18.75" x14ac:dyDescent="0.3">
      <c r="C39" s="37"/>
      <c r="D39" s="38"/>
    </row>
    <row r="40" spans="2:11" s="9" customFormat="1" ht="21" x14ac:dyDescent="0.35">
      <c r="B40" s="3" t="s">
        <v>5</v>
      </c>
      <c r="C40" s="9">
        <f>COUNT(C5:C11)</f>
        <v>7</v>
      </c>
      <c r="D40" s="9">
        <f>COUNT(D5:D11)</f>
        <v>7</v>
      </c>
    </row>
    <row r="41" spans="2:11" s="9" customFormat="1" ht="21" x14ac:dyDescent="0.35">
      <c r="B41" s="3" t="s">
        <v>6</v>
      </c>
      <c r="C41" s="9">
        <f>SUM(C5:C39)</f>
        <v>52.6</v>
      </c>
      <c r="D41" s="9">
        <f>SUM(D5:D39)</f>
        <v>52.900000000000006</v>
      </c>
      <c r="E41" s="9">
        <f>SUM(E5:E40)</f>
        <v>398.28</v>
      </c>
      <c r="F41" s="9">
        <f>SUM(F5:F40)</f>
        <v>402.23</v>
      </c>
    </row>
    <row r="42" spans="2:11" s="9" customFormat="1" ht="21.75" thickBot="1" x14ac:dyDescent="0.4">
      <c r="B42" s="3" t="s">
        <v>7</v>
      </c>
      <c r="C42" s="10">
        <f>C41 / C40</f>
        <v>7.5142857142857142</v>
      </c>
      <c r="D42" s="10">
        <f>D41 / D40</f>
        <v>7.5571428571428578</v>
      </c>
    </row>
    <row r="43" spans="2:11" s="9" customFormat="1" ht="21.75" thickBot="1" x14ac:dyDescent="0.4">
      <c r="H43" s="11" t="s">
        <v>8</v>
      </c>
      <c r="I43" s="12" t="s">
        <v>9</v>
      </c>
      <c r="J43" s="12" t="s">
        <v>10</v>
      </c>
      <c r="K43" s="359" t="s">
        <v>11</v>
      </c>
    </row>
    <row r="44" spans="2:11" s="9" customFormat="1" ht="21" x14ac:dyDescent="0.35">
      <c r="B44" s="14">
        <v>1</v>
      </c>
      <c r="C44" s="9" t="s">
        <v>12</v>
      </c>
      <c r="D44" s="9">
        <f xml:space="preserve"> C41 + D41</f>
        <v>105.5</v>
      </c>
      <c r="F44" s="15" t="s">
        <v>13</v>
      </c>
      <c r="G44" s="16"/>
      <c r="H44" s="17">
        <v>1</v>
      </c>
      <c r="I44" s="18">
        <f>D49</f>
        <v>6.4285714287279916E-3</v>
      </c>
      <c r="J44" s="18">
        <f>I44 / H44</f>
        <v>6.4285714287279916E-3</v>
      </c>
      <c r="K44" s="273">
        <f xml:space="preserve"> J44 / J45</f>
        <v>1.4062500000342823E-2</v>
      </c>
    </row>
    <row r="45" spans="2:11" s="9" customFormat="1" ht="21" x14ac:dyDescent="0.35">
      <c r="B45" s="14">
        <v>2</v>
      </c>
      <c r="C45" s="9" t="s">
        <v>14</v>
      </c>
      <c r="D45" s="9">
        <f>E41 + F41</f>
        <v>800.51</v>
      </c>
      <c r="F45" s="19" t="s">
        <v>15</v>
      </c>
      <c r="G45" s="20"/>
      <c r="H45" s="21">
        <f>(C40 +D40) - 2</f>
        <v>12</v>
      </c>
      <c r="I45" s="22">
        <f>D50</f>
        <v>5.4857142857141525</v>
      </c>
      <c r="J45" s="22">
        <f xml:space="preserve"> I45 / H45</f>
        <v>0.45714285714284603</v>
      </c>
      <c r="K45" s="23"/>
    </row>
    <row r="46" spans="2:11" s="9" customFormat="1" ht="21.75" thickBot="1" x14ac:dyDescent="0.4">
      <c r="B46" s="14">
        <v>3</v>
      </c>
      <c r="C46" s="9" t="s">
        <v>16</v>
      </c>
      <c r="D46" s="9">
        <f>((C41^2) + (D41^2))/C40</f>
        <v>795.02428571428584</v>
      </c>
      <c r="F46" s="24" t="s">
        <v>12</v>
      </c>
      <c r="G46" s="25"/>
      <c r="H46" s="26">
        <f>H44+H45</f>
        <v>13</v>
      </c>
      <c r="I46" s="27">
        <f xml:space="preserve"> I44 + I45</f>
        <v>5.4921428571428805</v>
      </c>
      <c r="J46" s="27"/>
      <c r="K46" s="28"/>
    </row>
    <row r="47" spans="2:11" s="9" customFormat="1" ht="21" x14ac:dyDescent="0.35">
      <c r="B47" s="14">
        <v>4</v>
      </c>
      <c r="C47" s="358" t="s">
        <v>17</v>
      </c>
      <c r="D47" s="357">
        <f xml:space="preserve"> D44^2 / 14</f>
        <v>795.01785714285711</v>
      </c>
    </row>
    <row r="48" spans="2:11" s="9" customFormat="1" ht="21" x14ac:dyDescent="0.35">
      <c r="B48" s="14">
        <v>5</v>
      </c>
      <c r="C48" s="9" t="s">
        <v>18</v>
      </c>
      <c r="D48" s="9">
        <f xml:space="preserve"> D45 - D47</f>
        <v>5.4921428571428805</v>
      </c>
      <c r="F48" s="9" t="s">
        <v>245</v>
      </c>
    </row>
    <row r="49" spans="2:8" s="9" customFormat="1" ht="21" x14ac:dyDescent="0.35">
      <c r="B49" s="14">
        <v>6</v>
      </c>
      <c r="C49" s="9" t="s">
        <v>19</v>
      </c>
      <c r="D49" s="9">
        <f xml:space="preserve"> D46 - D47</f>
        <v>6.4285714287279916E-3</v>
      </c>
    </row>
    <row r="50" spans="2:8" s="9" customFormat="1" ht="21" x14ac:dyDescent="0.35">
      <c r="B50" s="14">
        <v>7</v>
      </c>
      <c r="C50" s="9" t="s">
        <v>20</v>
      </c>
      <c r="D50" s="9">
        <f xml:space="preserve"> D48 - D49</f>
        <v>5.4857142857141525</v>
      </c>
    </row>
    <row r="52" spans="2:8" x14ac:dyDescent="0.25">
      <c r="B52" t="s">
        <v>21</v>
      </c>
    </row>
    <row r="53" spans="2:8" ht="15.75" thickBot="1" x14ac:dyDescent="0.3"/>
    <row r="54" spans="2:8" ht="30" x14ac:dyDescent="0.3">
      <c r="C54" s="379" t="s">
        <v>101</v>
      </c>
      <c r="D54" s="110">
        <v>44</v>
      </c>
      <c r="E54" s="110">
        <v>13</v>
      </c>
      <c r="F54" s="110">
        <v>5</v>
      </c>
      <c r="G54" s="90">
        <v>38</v>
      </c>
      <c r="H54" s="111">
        <v>7.7211921000284169</v>
      </c>
    </row>
    <row r="55" spans="2:8" ht="19.5" thickBot="1" x14ac:dyDescent="0.35">
      <c r="C55" s="380" t="s">
        <v>264</v>
      </c>
      <c r="D55" s="89">
        <v>36</v>
      </c>
      <c r="E55" s="89">
        <v>23</v>
      </c>
      <c r="F55" s="89">
        <v>8</v>
      </c>
      <c r="G55" s="109">
        <v>34</v>
      </c>
      <c r="H55" s="388">
        <v>11.367905778432094</v>
      </c>
    </row>
    <row r="56" spans="2:8" ht="19.5" thickBot="1" x14ac:dyDescent="0.35">
      <c r="H56" s="111"/>
    </row>
    <row r="57" spans="2:8" ht="30" x14ac:dyDescent="0.3">
      <c r="C57" s="379" t="s">
        <v>101</v>
      </c>
      <c r="D57" s="110">
        <v>88</v>
      </c>
      <c r="E57" s="110">
        <v>26</v>
      </c>
      <c r="F57" s="110">
        <v>10</v>
      </c>
      <c r="G57" s="90">
        <v>76</v>
      </c>
      <c r="H57" s="111">
        <v>15.442384200056834</v>
      </c>
    </row>
    <row r="58" spans="2:8" ht="19.5" thickBot="1" x14ac:dyDescent="0.35">
      <c r="C58" s="380" t="s">
        <v>264</v>
      </c>
      <c r="D58" s="89">
        <v>72</v>
      </c>
      <c r="E58" s="89">
        <v>46</v>
      </c>
      <c r="F58" s="89">
        <v>16</v>
      </c>
      <c r="G58" s="109">
        <v>68</v>
      </c>
      <c r="H58" s="388">
        <v>22.735811556864189</v>
      </c>
    </row>
  </sheetData>
  <mergeCells count="1">
    <mergeCell ref="B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X^2 instructions</vt:lpstr>
      <vt:lpstr>Chi-Square</vt:lpstr>
      <vt:lpstr>Chi-Sq MN</vt:lpstr>
      <vt:lpstr>Chi-Square ABO)</vt:lpstr>
      <vt:lpstr>RxC G-test</vt:lpstr>
      <vt:lpstr>G-test A B AB O</vt:lpstr>
      <vt:lpstr>t-test</vt:lpstr>
      <vt:lpstr>Critical Values of t</vt:lpstr>
      <vt:lpstr>F-test</vt:lpstr>
      <vt:lpstr>ABO ethnic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Steven M Carr</dc:creator>
  <cp:lastModifiedBy>Dr Steven M Carr</cp:lastModifiedBy>
  <dcterms:created xsi:type="dcterms:W3CDTF">2019-10-06T22:35:26Z</dcterms:created>
  <dcterms:modified xsi:type="dcterms:W3CDTF">2019-10-21T23:37:37Z</dcterms:modified>
</cp:coreProperties>
</file>